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-CABINA1\Ficheros\Macro-Presupuestario\Carpetas Personales\Raquel Losada\Proyectos\Estimación_IRPF\"/>
    </mc:Choice>
  </mc:AlternateContent>
  <bookViews>
    <workbookView xWindow="0" yWindow="0" windowWidth="20490" windowHeight="7155" tabRatio="845"/>
  </bookViews>
  <sheets>
    <sheet name="Indice" sheetId="14" r:id="rId1"/>
    <sheet name="Léeme" sheetId="16" r:id="rId2"/>
    <sheet name="Cálculos_IRPF" sheetId="12" r:id="rId3"/>
    <sheet name="Resultados_IRPF" sheetId="15" r:id="rId4"/>
    <sheet name="Resultados_trabajo" sheetId="2" r:id="rId5"/>
    <sheet name="Resultados_capital" sheetId="4" r:id="rId6"/>
    <sheet name="Resultados_actividad_eco" sheetId="6" r:id="rId7"/>
    <sheet name="Cálculos_trabajo" sheetId="1" r:id="rId8"/>
    <sheet name="Cálculos_capital" sheetId="3" r:id="rId9"/>
    <sheet name="Cálculos_actividad_eco" sheetId="5" r:id="rId10"/>
  </sheets>
  <calcPr calcId="152511"/>
</workbook>
</file>

<file path=xl/calcChain.xml><?xml version="1.0" encoding="utf-8"?>
<calcChain xmlns="http://schemas.openxmlformats.org/spreadsheetml/2006/main">
  <c r="F6" i="15" l="1"/>
  <c r="F7" i="4" l="1"/>
  <c r="C6" i="6"/>
  <c r="D6" i="6"/>
  <c r="E6" i="6"/>
  <c r="F6" i="6"/>
  <c r="D6" i="2"/>
  <c r="D8" i="4"/>
  <c r="G7" i="4"/>
  <c r="D7" i="4"/>
  <c r="D6" i="4"/>
  <c r="E8" i="4"/>
  <c r="H6" i="2"/>
  <c r="F6" i="2"/>
  <c r="BD24" i="5" l="1"/>
  <c r="CF25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8" i="1"/>
  <c r="BF9" i="1"/>
  <c r="J9" i="1"/>
  <c r="BK9" i="1" s="1"/>
  <c r="U9" i="1"/>
  <c r="Q9" i="1"/>
  <c r="W9" i="1" s="1"/>
  <c r="K9" i="1"/>
  <c r="BL9" i="1" s="1"/>
  <c r="V9" i="1"/>
  <c r="L9" i="1"/>
  <c r="BM9" i="1" s="1"/>
  <c r="X9" i="1"/>
  <c r="J11" i="1"/>
  <c r="BK11" i="1" s="1"/>
  <c r="K11" i="1"/>
  <c r="BL11" i="1" s="1"/>
  <c r="L11" i="1"/>
  <c r="BM11" i="1" s="1"/>
  <c r="BP11" i="1" s="1"/>
  <c r="CG25" i="1"/>
  <c r="BG21" i="1"/>
  <c r="BG22" i="1"/>
  <c r="BG23" i="1"/>
  <c r="BG24" i="1"/>
  <c r="U24" i="1"/>
  <c r="Q21" i="1"/>
  <c r="W21" i="1" s="1"/>
  <c r="Q20" i="1"/>
  <c r="Q22" i="1"/>
  <c r="Q23" i="1"/>
  <c r="Q24" i="1"/>
  <c r="W24" i="1" s="1"/>
  <c r="AJ24" i="1" s="1"/>
  <c r="AO24" i="1" s="1"/>
  <c r="J24" i="1"/>
  <c r="BK24" i="1"/>
  <c r="AT7" i="1"/>
  <c r="AT9" i="1" s="1"/>
  <c r="AT11" i="1" s="1"/>
  <c r="AT13" i="1" s="1"/>
  <c r="AT15" i="1" s="1"/>
  <c r="AT17" i="1" s="1"/>
  <c r="AT19" i="1" s="1"/>
  <c r="AT21" i="1" s="1"/>
  <c r="AT23" i="1" s="1"/>
  <c r="AT25" i="1" s="1"/>
  <c r="AT27" i="1" s="1"/>
  <c r="AT29" i="1" s="1"/>
  <c r="K24" i="1"/>
  <c r="BL24" i="1" s="1"/>
  <c r="V24" i="1"/>
  <c r="V23" i="1"/>
  <c r="AU7" i="1"/>
  <c r="AU9" i="1" s="1"/>
  <c r="AU11" i="1" s="1"/>
  <c r="AU13" i="1" s="1"/>
  <c r="AU15" i="1" s="1"/>
  <c r="AU17" i="1" s="1"/>
  <c r="AU19" i="1" s="1"/>
  <c r="AU21" i="1" s="1"/>
  <c r="AU23" i="1" s="1"/>
  <c r="AU25" i="1" s="1"/>
  <c r="AU27" i="1" s="1"/>
  <c r="AU29" i="1" s="1"/>
  <c r="I6" i="2"/>
  <c r="CH25" i="1" s="1"/>
  <c r="BI21" i="1"/>
  <c r="BI22" i="1"/>
  <c r="BI23" i="1"/>
  <c r="BI24" i="1"/>
  <c r="X24" i="1"/>
  <c r="L24" i="1"/>
  <c r="BM24" i="1" s="1"/>
  <c r="AV9" i="1"/>
  <c r="AV11" i="1" s="1"/>
  <c r="AV13" i="1" s="1"/>
  <c r="D12" i="5"/>
  <c r="D11" i="5" s="1"/>
  <c r="Q7" i="5"/>
  <c r="X8" i="5" s="1"/>
  <c r="AA8" i="5" s="1"/>
  <c r="R7" i="5"/>
  <c r="Q8" i="5"/>
  <c r="R8" i="5"/>
  <c r="Q9" i="5"/>
  <c r="X10" i="5" s="1"/>
  <c r="AA10" i="5" s="1"/>
  <c r="R9" i="5"/>
  <c r="Q10" i="5"/>
  <c r="R10" i="5"/>
  <c r="Y10" i="5" s="1"/>
  <c r="AB11" i="5" s="1"/>
  <c r="Q11" i="5"/>
  <c r="R11" i="5"/>
  <c r="Q12" i="5"/>
  <c r="R12" i="5"/>
  <c r="Y12" i="5" s="1"/>
  <c r="AB13" i="5" s="1"/>
  <c r="G13" i="5"/>
  <c r="L13" i="5" s="1"/>
  <c r="AM13" i="5" s="1"/>
  <c r="Q13" i="5"/>
  <c r="R13" i="5"/>
  <c r="G14" i="5"/>
  <c r="L14" i="5" s="1"/>
  <c r="AM14" i="5" s="1"/>
  <c r="AN14" i="5" s="1"/>
  <c r="Q14" i="5"/>
  <c r="R14" i="5"/>
  <c r="G15" i="5"/>
  <c r="L15" i="5" s="1"/>
  <c r="AM15" i="5" s="1"/>
  <c r="Q15" i="5"/>
  <c r="R15" i="5"/>
  <c r="G16" i="5"/>
  <c r="L16" i="5" s="1"/>
  <c r="AM16" i="5" s="1"/>
  <c r="Q16" i="5"/>
  <c r="R16" i="5"/>
  <c r="G17" i="5"/>
  <c r="L17" i="5" s="1"/>
  <c r="AM17" i="5" s="1"/>
  <c r="Q17" i="5"/>
  <c r="R17" i="5"/>
  <c r="G18" i="5"/>
  <c r="L18" i="5" s="1"/>
  <c r="AM18" i="5" s="1"/>
  <c r="AN18" i="5" s="1"/>
  <c r="Q18" i="5"/>
  <c r="R18" i="5"/>
  <c r="G19" i="5"/>
  <c r="L19" i="5" s="1"/>
  <c r="AM19" i="5" s="1"/>
  <c r="Q19" i="5"/>
  <c r="X20" i="5" s="1"/>
  <c r="AA20" i="5" s="1"/>
  <c r="R19" i="5"/>
  <c r="G20" i="5"/>
  <c r="L20" i="5" s="1"/>
  <c r="AM20" i="5" s="1"/>
  <c r="Q20" i="5"/>
  <c r="R20" i="5"/>
  <c r="Y20" i="5" s="1"/>
  <c r="AB21" i="5" s="1"/>
  <c r="G21" i="5"/>
  <c r="L21" i="5" s="1"/>
  <c r="AM21" i="5" s="1"/>
  <c r="Q21" i="5"/>
  <c r="R21" i="5"/>
  <c r="G22" i="5"/>
  <c r="L22" i="5" s="1"/>
  <c r="AM22" i="5" s="1"/>
  <c r="Q22" i="5"/>
  <c r="R22" i="5"/>
  <c r="G23" i="5"/>
  <c r="L23" i="5" s="1"/>
  <c r="AM23" i="5" s="1"/>
  <c r="AU23" i="5" s="1"/>
  <c r="BP23" i="5" s="1"/>
  <c r="Q23" i="5"/>
  <c r="X23" i="5" s="1"/>
  <c r="AA23" i="5" s="1"/>
  <c r="R23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D6" i="5"/>
  <c r="AD8" i="5"/>
  <c r="AD10" i="5" s="1"/>
  <c r="AD12" i="5" s="1"/>
  <c r="AD14" i="5" s="1"/>
  <c r="AD16" i="5" s="1"/>
  <c r="AD18" i="5" s="1"/>
  <c r="AD20" i="5" s="1"/>
  <c r="AD22" i="5" s="1"/>
  <c r="AD24" i="5" s="1"/>
  <c r="AD26" i="5" s="1"/>
  <c r="AD28" i="5" s="1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D7" i="5"/>
  <c r="AD9" i="5" s="1"/>
  <c r="AD11" i="5" s="1"/>
  <c r="AD13" i="5" s="1"/>
  <c r="AD15" i="5" s="1"/>
  <c r="AD17" i="5" s="1"/>
  <c r="AD19" i="5" s="1"/>
  <c r="AD21" i="5" s="1"/>
  <c r="AD23" i="5" s="1"/>
  <c r="AD25" i="5" s="1"/>
  <c r="AD27" i="5" s="1"/>
  <c r="Q6" i="5"/>
  <c r="R6" i="5"/>
  <c r="Y7" i="5" s="1"/>
  <c r="AB8" i="5" s="1"/>
  <c r="U9" i="3"/>
  <c r="BO9" i="3" s="1"/>
  <c r="AC9" i="3"/>
  <c r="AO9" i="3" s="1"/>
  <c r="AS10" i="3" s="1"/>
  <c r="BH23" i="5"/>
  <c r="BI23" i="5"/>
  <c r="H24" i="1"/>
  <c r="F16" i="12" s="1"/>
  <c r="H16" i="12"/>
  <c r="G16" i="12"/>
  <c r="BK23" i="5"/>
  <c r="Q23" i="3"/>
  <c r="BM23" i="3" s="1"/>
  <c r="BP23" i="3" s="1"/>
  <c r="CM23" i="3" s="1"/>
  <c r="S23" i="3"/>
  <c r="BN23" i="3" s="1"/>
  <c r="U23" i="3"/>
  <c r="BO23" i="3" s="1"/>
  <c r="BR23" i="3" s="1"/>
  <c r="CO23" i="3" s="1"/>
  <c r="N16" i="12" s="1"/>
  <c r="Q16" i="12"/>
  <c r="AZ23" i="5"/>
  <c r="BU23" i="5" s="1"/>
  <c r="P9" i="3"/>
  <c r="DD16" i="1"/>
  <c r="BK13" i="5"/>
  <c r="BI15" i="5"/>
  <c r="BI16" i="5"/>
  <c r="BI17" i="5"/>
  <c r="BI18" i="5"/>
  <c r="BF18" i="5" s="1"/>
  <c r="BJ18" i="5" s="1"/>
  <c r="BI19" i="5"/>
  <c r="BI20" i="5"/>
  <c r="BI21" i="5"/>
  <c r="BI22" i="5"/>
  <c r="BI14" i="5"/>
  <c r="BI13" i="5"/>
  <c r="BK14" i="5"/>
  <c r="H14" i="1"/>
  <c r="F6" i="12" s="1"/>
  <c r="AC12" i="12"/>
  <c r="AC16" i="12"/>
  <c r="AC7" i="12"/>
  <c r="AC8" i="12"/>
  <c r="AC9" i="12"/>
  <c r="AC10" i="12"/>
  <c r="AC11" i="12"/>
  <c r="AC13" i="12"/>
  <c r="AC14" i="12"/>
  <c r="AC15" i="12"/>
  <c r="AC6" i="12"/>
  <c r="Q17" i="12"/>
  <c r="P17" i="12"/>
  <c r="G15" i="12"/>
  <c r="G14" i="12"/>
  <c r="G13" i="12"/>
  <c r="G12" i="12"/>
  <c r="G11" i="12"/>
  <c r="G10" i="12"/>
  <c r="G9" i="12"/>
  <c r="G8" i="12"/>
  <c r="G7" i="12"/>
  <c r="G6" i="12"/>
  <c r="Q18" i="12"/>
  <c r="P18" i="12"/>
  <c r="H20" i="1"/>
  <c r="F12" i="12" s="1"/>
  <c r="H16" i="1"/>
  <c r="F8" i="12" s="1"/>
  <c r="H17" i="1"/>
  <c r="F9" i="12" s="1"/>
  <c r="H18" i="1"/>
  <c r="F10" i="12" s="1"/>
  <c r="H19" i="1"/>
  <c r="F11" i="12" s="1"/>
  <c r="H15" i="1"/>
  <c r="F7" i="12" s="1"/>
  <c r="BL24" i="5"/>
  <c r="BL25" i="5" s="1"/>
  <c r="BK18" i="5"/>
  <c r="H9" i="12"/>
  <c r="H7" i="12"/>
  <c r="H8" i="12"/>
  <c r="H12" i="12"/>
  <c r="H10" i="12"/>
  <c r="H11" i="12"/>
  <c r="H6" i="12"/>
  <c r="BK21" i="5"/>
  <c r="BK17" i="5"/>
  <c r="BH21" i="5"/>
  <c r="BF21" i="5" s="1"/>
  <c r="BJ21" i="5" s="1"/>
  <c r="BH20" i="5"/>
  <c r="BF20" i="5" s="1"/>
  <c r="BJ20" i="5" s="1"/>
  <c r="BH19" i="5"/>
  <c r="BK19" i="5"/>
  <c r="H21" i="1"/>
  <c r="F13" i="12" s="1"/>
  <c r="H22" i="1"/>
  <c r="F14" i="12" s="1"/>
  <c r="H23" i="1"/>
  <c r="F15" i="12" s="1"/>
  <c r="H13" i="12"/>
  <c r="H14" i="12"/>
  <c r="H15" i="12"/>
  <c r="CX25" i="1"/>
  <c r="CX26" i="1" s="1"/>
  <c r="CW25" i="1"/>
  <c r="CW26" i="1" s="1"/>
  <c r="BE24" i="5"/>
  <c r="F7" i="6" s="1"/>
  <c r="BE25" i="5" s="1"/>
  <c r="F8" i="6" s="1"/>
  <c r="BE26" i="5" s="1"/>
  <c r="F9" i="6" s="1"/>
  <c r="BE27" i="5" s="1"/>
  <c r="F10" i="6" s="1"/>
  <c r="BE28" i="5" s="1"/>
  <c r="BA28" i="5"/>
  <c r="AZ28" i="5"/>
  <c r="BA27" i="5"/>
  <c r="AZ27" i="5"/>
  <c r="BA26" i="5"/>
  <c r="AZ26" i="5"/>
  <c r="BA25" i="5"/>
  <c r="AZ25" i="5"/>
  <c r="BA24" i="5"/>
  <c r="AZ24" i="5"/>
  <c r="BA23" i="5"/>
  <c r="BV23" i="5" s="1"/>
  <c r="K23" i="5"/>
  <c r="J23" i="5"/>
  <c r="I23" i="5"/>
  <c r="BH22" i="5"/>
  <c r="BK22" i="5"/>
  <c r="K22" i="5"/>
  <c r="J22" i="5"/>
  <c r="I22" i="5"/>
  <c r="K21" i="5"/>
  <c r="J21" i="5"/>
  <c r="I21" i="5"/>
  <c r="BK20" i="5"/>
  <c r="K20" i="5"/>
  <c r="J20" i="5"/>
  <c r="I20" i="5"/>
  <c r="K19" i="5"/>
  <c r="J19" i="5"/>
  <c r="I19" i="5"/>
  <c r="BH18" i="5"/>
  <c r="K18" i="5"/>
  <c r="J18" i="5"/>
  <c r="I18" i="5"/>
  <c r="BH17" i="5"/>
  <c r="K17" i="5"/>
  <c r="J17" i="5"/>
  <c r="I17" i="5"/>
  <c r="BH16" i="5"/>
  <c r="BK16" i="5"/>
  <c r="K16" i="5"/>
  <c r="J16" i="5"/>
  <c r="I16" i="5"/>
  <c r="BH15" i="5"/>
  <c r="BF15" i="5" s="1"/>
  <c r="BJ15" i="5" s="1"/>
  <c r="BK15" i="5"/>
  <c r="K15" i="5"/>
  <c r="J15" i="5"/>
  <c r="I15" i="5"/>
  <c r="BH14" i="5"/>
  <c r="BF14" i="5" s="1"/>
  <c r="Y15" i="5"/>
  <c r="AB16" i="5" s="1"/>
  <c r="K14" i="5"/>
  <c r="J14" i="5"/>
  <c r="I14" i="5"/>
  <c r="BH13" i="5"/>
  <c r="K13" i="5"/>
  <c r="J13" i="5"/>
  <c r="I13" i="5"/>
  <c r="K12" i="5"/>
  <c r="K11" i="5"/>
  <c r="K10" i="5"/>
  <c r="K9" i="5"/>
  <c r="K8" i="5"/>
  <c r="K7" i="5"/>
  <c r="AK6" i="5"/>
  <c r="AJ6" i="5"/>
  <c r="K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R5" i="5"/>
  <c r="Q5" i="5"/>
  <c r="H6" i="4"/>
  <c r="CJ24" i="3" s="1"/>
  <c r="G6" i="4"/>
  <c r="CI24" i="3" s="1"/>
  <c r="CI25" i="3" s="1"/>
  <c r="G8" i="4" s="1"/>
  <c r="CI26" i="3" s="1"/>
  <c r="G9" i="4" s="1"/>
  <c r="CI27" i="3" s="1"/>
  <c r="G10" i="4" s="1"/>
  <c r="CI28" i="3" s="1"/>
  <c r="F6" i="4"/>
  <c r="CH24" i="3" s="1"/>
  <c r="CH25" i="3" s="1"/>
  <c r="F8" i="4" s="1"/>
  <c r="CH26" i="3" s="1"/>
  <c r="CF28" i="3"/>
  <c r="CE28" i="3"/>
  <c r="AX28" i="3"/>
  <c r="CF27" i="3"/>
  <c r="CE27" i="3"/>
  <c r="AX27" i="3"/>
  <c r="CF26" i="3"/>
  <c r="CE26" i="3"/>
  <c r="AX26" i="3"/>
  <c r="CF25" i="3"/>
  <c r="CE25" i="3"/>
  <c r="AX25" i="3"/>
  <c r="CF24" i="3"/>
  <c r="CE24" i="3"/>
  <c r="BK24" i="3"/>
  <c r="BJ24" i="3"/>
  <c r="AX24" i="3"/>
  <c r="AC24" i="3"/>
  <c r="AO24" i="3" s="1"/>
  <c r="AS25" i="3" s="1"/>
  <c r="AA24" i="3"/>
  <c r="DD23" i="3"/>
  <c r="CF23" i="3"/>
  <c r="CX23" i="3" s="1"/>
  <c r="CE23" i="3"/>
  <c r="CW23" i="3" s="1"/>
  <c r="BK23" i="3"/>
  <c r="BJ23" i="3"/>
  <c r="BI23" i="3"/>
  <c r="AX23" i="3"/>
  <c r="AC23" i="3"/>
  <c r="AB23" i="3"/>
  <c r="AM23" i="3" s="1"/>
  <c r="AQ23" i="3" s="1"/>
  <c r="AA23" i="3"/>
  <c r="T23" i="3"/>
  <c r="R23" i="3"/>
  <c r="P23" i="3"/>
  <c r="DD22" i="3"/>
  <c r="BK22" i="3"/>
  <c r="BJ22" i="3"/>
  <c r="BI22" i="3"/>
  <c r="AX22" i="3"/>
  <c r="AC22" i="3"/>
  <c r="AB22" i="3"/>
  <c r="AA22" i="3"/>
  <c r="U22" i="3"/>
  <c r="BO22" i="3" s="1"/>
  <c r="T22" i="3"/>
  <c r="S22" i="3"/>
  <c r="R22" i="3"/>
  <c r="Q22" i="3"/>
  <c r="BM22" i="3" s="1"/>
  <c r="P22" i="3"/>
  <c r="DD21" i="3"/>
  <c r="BK21" i="3"/>
  <c r="BJ21" i="3"/>
  <c r="BI21" i="3"/>
  <c r="AX21" i="3"/>
  <c r="AC21" i="3"/>
  <c r="AO21" i="3" s="1"/>
  <c r="AS22" i="3" s="1"/>
  <c r="AB21" i="3"/>
  <c r="AA21" i="3"/>
  <c r="U21" i="3"/>
  <c r="T21" i="3"/>
  <c r="S21" i="3"/>
  <c r="BN21" i="3" s="1"/>
  <c r="R21" i="3"/>
  <c r="Q21" i="3"/>
  <c r="P21" i="3"/>
  <c r="DD20" i="3"/>
  <c r="BK20" i="3"/>
  <c r="BJ20" i="3"/>
  <c r="BI20" i="3"/>
  <c r="AX20" i="3"/>
  <c r="AC20" i="3"/>
  <c r="AB20" i="3"/>
  <c r="AA20" i="3"/>
  <c r="AN20" i="3" s="1"/>
  <c r="AR20" i="3" s="1"/>
  <c r="U20" i="3"/>
  <c r="BO20" i="3" s="1"/>
  <c r="T20" i="3"/>
  <c r="S20" i="3"/>
  <c r="BN20" i="3" s="1"/>
  <c r="R20" i="3"/>
  <c r="Q20" i="3"/>
  <c r="BM20" i="3" s="1"/>
  <c r="P20" i="3"/>
  <c r="DD19" i="3"/>
  <c r="BK19" i="3"/>
  <c r="BJ19" i="3"/>
  <c r="BI19" i="3"/>
  <c r="AX19" i="3"/>
  <c r="AC19" i="3"/>
  <c r="AO20" i="3" s="1"/>
  <c r="AS21" i="3" s="1"/>
  <c r="AB19" i="3"/>
  <c r="AA19" i="3"/>
  <c r="U19" i="3"/>
  <c r="T19" i="3"/>
  <c r="S19" i="3"/>
  <c r="BN19" i="3" s="1"/>
  <c r="R19" i="3"/>
  <c r="Q19" i="3"/>
  <c r="P19" i="3"/>
  <c r="DD18" i="3"/>
  <c r="BK18" i="3"/>
  <c r="BJ18" i="3"/>
  <c r="BI18" i="3"/>
  <c r="AX18" i="3"/>
  <c r="AC18" i="3"/>
  <c r="AB18" i="3"/>
  <c r="AA18" i="3"/>
  <c r="U18" i="3"/>
  <c r="BO18" i="3" s="1"/>
  <c r="T18" i="3"/>
  <c r="S18" i="3"/>
  <c r="BN18" i="3" s="1"/>
  <c r="R18" i="3"/>
  <c r="Q18" i="3"/>
  <c r="BM18" i="3" s="1"/>
  <c r="P18" i="3"/>
  <c r="DD17" i="3"/>
  <c r="BK17" i="3"/>
  <c r="BJ17" i="3"/>
  <c r="BI17" i="3"/>
  <c r="AX17" i="3"/>
  <c r="AC17" i="3"/>
  <c r="AB17" i="3"/>
  <c r="AA17" i="3"/>
  <c r="U17" i="3"/>
  <c r="BO17" i="3" s="1"/>
  <c r="T17" i="3"/>
  <c r="S17" i="3"/>
  <c r="BN17" i="3" s="1"/>
  <c r="R17" i="3"/>
  <c r="Q17" i="3"/>
  <c r="P17" i="3"/>
  <c r="DD16" i="3"/>
  <c r="BK16" i="3"/>
  <c r="BJ16" i="3"/>
  <c r="BI16" i="3"/>
  <c r="AX16" i="3"/>
  <c r="AC16" i="3"/>
  <c r="AB16" i="3"/>
  <c r="AA16" i="3"/>
  <c r="AN16" i="3" s="1"/>
  <c r="AR16" i="3" s="1"/>
  <c r="U16" i="3"/>
  <c r="BO16" i="3" s="1"/>
  <c r="T16" i="3"/>
  <c r="S16" i="3"/>
  <c r="BN16" i="3" s="1"/>
  <c r="R16" i="3"/>
  <c r="Q16" i="3"/>
  <c r="BM16" i="3" s="1"/>
  <c r="P16" i="3"/>
  <c r="DD15" i="3"/>
  <c r="BK15" i="3"/>
  <c r="E7" i="4" s="1"/>
  <c r="BK25" i="3" s="1"/>
  <c r="BJ15" i="3"/>
  <c r="BI15" i="3"/>
  <c r="AX15" i="3"/>
  <c r="AC15" i="3"/>
  <c r="AB15" i="3"/>
  <c r="AA15" i="3"/>
  <c r="U15" i="3"/>
  <c r="BO15" i="3" s="1"/>
  <c r="T15" i="3"/>
  <c r="S15" i="3"/>
  <c r="BN15" i="3" s="1"/>
  <c r="R15" i="3"/>
  <c r="Q15" i="3"/>
  <c r="BM15" i="3" s="1"/>
  <c r="P15" i="3"/>
  <c r="DD14" i="3"/>
  <c r="BK14" i="3"/>
  <c r="BJ14" i="3"/>
  <c r="BI14" i="3"/>
  <c r="AX14" i="3"/>
  <c r="AC14" i="3"/>
  <c r="AB14" i="3"/>
  <c r="AB13" i="3"/>
  <c r="AM13" i="3" s="1"/>
  <c r="AQ13" i="3" s="1"/>
  <c r="AA14" i="3"/>
  <c r="U14" i="3"/>
  <c r="BO14" i="3" s="1"/>
  <c r="T14" i="3"/>
  <c r="S14" i="3"/>
  <c r="BN14" i="3" s="1"/>
  <c r="R14" i="3"/>
  <c r="Q14" i="3"/>
  <c r="BM14" i="3" s="1"/>
  <c r="P14" i="3"/>
  <c r="BK13" i="3"/>
  <c r="E6" i="4" s="1"/>
  <c r="BJ13" i="3"/>
  <c r="BI13" i="3"/>
  <c r="AX13" i="3"/>
  <c r="AC13" i="3"/>
  <c r="AA13" i="3"/>
  <c r="U13" i="3"/>
  <c r="BO13" i="3" s="1"/>
  <c r="T13" i="3"/>
  <c r="S13" i="3"/>
  <c r="BN13" i="3" s="1"/>
  <c r="R13" i="3"/>
  <c r="Q13" i="3"/>
  <c r="BM13" i="3" s="1"/>
  <c r="P13" i="3"/>
  <c r="BK12" i="3"/>
  <c r="BJ12" i="3"/>
  <c r="BI12" i="3"/>
  <c r="AX12" i="3"/>
  <c r="AC12" i="3"/>
  <c r="AO12" i="3" s="1"/>
  <c r="AS13" i="3" s="1"/>
  <c r="AB12" i="3"/>
  <c r="AA12" i="3"/>
  <c r="U12" i="3"/>
  <c r="T12" i="3"/>
  <c r="S12" i="3"/>
  <c r="BN12" i="3" s="1"/>
  <c r="R12" i="3"/>
  <c r="Q12" i="3"/>
  <c r="BM12" i="3" s="1"/>
  <c r="P12" i="3"/>
  <c r="BK11" i="3"/>
  <c r="BJ11" i="3"/>
  <c r="BI11" i="3"/>
  <c r="AX11" i="3"/>
  <c r="AC11" i="3"/>
  <c r="AB11" i="3"/>
  <c r="AA11" i="3"/>
  <c r="U11" i="3"/>
  <c r="BO11" i="3" s="1"/>
  <c r="T11" i="3"/>
  <c r="S11" i="3"/>
  <c r="BN11" i="3" s="1"/>
  <c r="R11" i="3"/>
  <c r="Q11" i="3"/>
  <c r="BM11" i="3" s="1"/>
  <c r="P11" i="3"/>
  <c r="BK10" i="3"/>
  <c r="BJ10" i="3"/>
  <c r="BI10" i="3"/>
  <c r="AX10" i="3"/>
  <c r="AC10" i="3"/>
  <c r="AB10" i="3"/>
  <c r="AA10" i="3"/>
  <c r="AN11" i="3" s="1"/>
  <c r="AR11" i="3" s="1"/>
  <c r="U10" i="3"/>
  <c r="BO10" i="3" s="1"/>
  <c r="T10" i="3"/>
  <c r="S10" i="3"/>
  <c r="BN10" i="3" s="1"/>
  <c r="R10" i="3"/>
  <c r="Q10" i="3"/>
  <c r="BM10" i="3"/>
  <c r="BP10" i="3" s="1"/>
  <c r="P10" i="3"/>
  <c r="BK9" i="3"/>
  <c r="BJ9" i="3"/>
  <c r="BI9" i="3"/>
  <c r="AX9" i="3"/>
  <c r="AB9" i="3"/>
  <c r="AA9" i="3"/>
  <c r="T9" i="3"/>
  <c r="S9" i="3"/>
  <c r="BN9" i="3" s="1"/>
  <c r="R9" i="3"/>
  <c r="Q9" i="3"/>
  <c r="BM9" i="3" s="1"/>
  <c r="BK8" i="3"/>
  <c r="BJ8" i="3"/>
  <c r="BI8" i="3"/>
  <c r="AY8" i="3"/>
  <c r="AY10" i="3" s="1"/>
  <c r="AY12" i="3" s="1"/>
  <c r="AY14" i="3" s="1"/>
  <c r="AY16" i="3" s="1"/>
  <c r="AY18" i="3" s="1"/>
  <c r="AY20" i="3" s="1"/>
  <c r="AY22" i="3" s="1"/>
  <c r="AY24" i="3" s="1"/>
  <c r="AY26" i="3" s="1"/>
  <c r="AY28" i="3" s="1"/>
  <c r="AX8" i="3"/>
  <c r="AC8" i="3"/>
  <c r="AB8" i="3"/>
  <c r="AA8" i="3"/>
  <c r="T8" i="3"/>
  <c r="S8" i="3"/>
  <c r="BN8" i="3" s="1"/>
  <c r="R8" i="3"/>
  <c r="Q8" i="3"/>
  <c r="BM8" i="3"/>
  <c r="P8" i="3"/>
  <c r="BK7" i="3"/>
  <c r="BJ7" i="3"/>
  <c r="BI7" i="3"/>
  <c r="AY7" i="3"/>
  <c r="AY9" i="3"/>
  <c r="AY11" i="3" s="1"/>
  <c r="AY13" i="3" s="1"/>
  <c r="AX7" i="3"/>
  <c r="AW7" i="3"/>
  <c r="AW9" i="3" s="1"/>
  <c r="AW11" i="3" s="1"/>
  <c r="AW13" i="3" s="1"/>
  <c r="AW15" i="3" s="1"/>
  <c r="AW17" i="3" s="1"/>
  <c r="AW19" i="3" s="1"/>
  <c r="AW21" i="3" s="1"/>
  <c r="AW23" i="3" s="1"/>
  <c r="AW25" i="3" s="1"/>
  <c r="AW27" i="3" s="1"/>
  <c r="AC7" i="3"/>
  <c r="AB7" i="3"/>
  <c r="AA7" i="3"/>
  <c r="T7" i="3"/>
  <c r="R7" i="3"/>
  <c r="Q7" i="3"/>
  <c r="BM7" i="3" s="1"/>
  <c r="P7" i="3"/>
  <c r="BK6" i="3"/>
  <c r="BJ6" i="3"/>
  <c r="BI6" i="3"/>
  <c r="AX6" i="3"/>
  <c r="AW6" i="3"/>
  <c r="AW8" i="3" s="1"/>
  <c r="AW10" i="3" s="1"/>
  <c r="AW12" i="3" s="1"/>
  <c r="AW14" i="3" s="1"/>
  <c r="AW16" i="3" s="1"/>
  <c r="AW18" i="3" s="1"/>
  <c r="AW20" i="3" s="1"/>
  <c r="AW22" i="3" s="1"/>
  <c r="AW24" i="3" s="1"/>
  <c r="AW26" i="3" s="1"/>
  <c r="AW28" i="3" s="1"/>
  <c r="AC6" i="3"/>
  <c r="AB6" i="3"/>
  <c r="AA6" i="3"/>
  <c r="T6" i="3"/>
  <c r="R6" i="3"/>
  <c r="Q6" i="3"/>
  <c r="BM6" i="3" s="1"/>
  <c r="P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C5" i="3"/>
  <c r="AB5" i="3"/>
  <c r="AA5" i="3"/>
  <c r="AN6" i="3" s="1"/>
  <c r="AR6" i="3" s="1"/>
  <c r="BB6" i="3" s="1"/>
  <c r="T5" i="3"/>
  <c r="R5" i="3"/>
  <c r="Q5" i="3"/>
  <c r="BM5" i="3" s="1"/>
  <c r="P5" i="3"/>
  <c r="CD29" i="1"/>
  <c r="CC29" i="1"/>
  <c r="CD28" i="1"/>
  <c r="CC28" i="1"/>
  <c r="CD27" i="1"/>
  <c r="CC27" i="1"/>
  <c r="CD26" i="1"/>
  <c r="CC26" i="1"/>
  <c r="CD25" i="1"/>
  <c r="CC25" i="1"/>
  <c r="DD24" i="1"/>
  <c r="CD24" i="1"/>
  <c r="CV24" i="1"/>
  <c r="CC24" i="1"/>
  <c r="CU24" i="1" s="1"/>
  <c r="T24" i="1"/>
  <c r="DD23" i="1"/>
  <c r="X23" i="1"/>
  <c r="AK24" i="1" s="1"/>
  <c r="AP24" i="1" s="1"/>
  <c r="U23" i="1"/>
  <c r="AH24" i="1" s="1"/>
  <c r="AM24" i="1" s="1"/>
  <c r="T23" i="1"/>
  <c r="W23" i="1"/>
  <c r="L23" i="1"/>
  <c r="BM23" i="1" s="1"/>
  <c r="K23" i="1"/>
  <c r="J23" i="1"/>
  <c r="BK23" i="1" s="1"/>
  <c r="DD22" i="1"/>
  <c r="X22" i="1"/>
  <c r="V22" i="1"/>
  <c r="AI22" i="1" s="1"/>
  <c r="AN23" i="1" s="1"/>
  <c r="U22" i="1"/>
  <c r="T22" i="1"/>
  <c r="L22" i="1"/>
  <c r="BM22" i="1" s="1"/>
  <c r="K22" i="1"/>
  <c r="BL22" i="1" s="1"/>
  <c r="J22" i="1"/>
  <c r="BK22" i="1" s="1"/>
  <c r="BN22" i="1" s="1"/>
  <c r="CK22" i="1" s="1"/>
  <c r="DD21" i="1"/>
  <c r="X21" i="1"/>
  <c r="V21" i="1"/>
  <c r="U21" i="1"/>
  <c r="AH21" i="1" s="1"/>
  <c r="AM21" i="1" s="1"/>
  <c r="T21" i="1"/>
  <c r="L21" i="1"/>
  <c r="BM21" i="1" s="1"/>
  <c r="AF21" i="1" s="1"/>
  <c r="AS22" i="1" s="1"/>
  <c r="K21" i="1"/>
  <c r="BL21" i="1" s="1"/>
  <c r="J21" i="1"/>
  <c r="BK21" i="1" s="1"/>
  <c r="BN21" i="1" s="1"/>
  <c r="CK21" i="1" s="1"/>
  <c r="DD20" i="1"/>
  <c r="BI20" i="1"/>
  <c r="BG20" i="1"/>
  <c r="X20" i="1"/>
  <c r="V20" i="1"/>
  <c r="U20" i="1"/>
  <c r="T20" i="1"/>
  <c r="L20" i="1"/>
  <c r="BM20" i="1" s="1"/>
  <c r="BP20" i="1" s="1"/>
  <c r="CM20" i="1" s="1"/>
  <c r="K20" i="1"/>
  <c r="BL20" i="1" s="1"/>
  <c r="BO20" i="1" s="1"/>
  <c r="CL20" i="1" s="1"/>
  <c r="J20" i="1"/>
  <c r="BK20" i="1" s="1"/>
  <c r="BN20" i="1" s="1"/>
  <c r="CK20" i="1" s="1"/>
  <c r="CI20" i="1" s="1"/>
  <c r="DD19" i="1"/>
  <c r="BI19" i="1"/>
  <c r="BG19" i="1"/>
  <c r="X19" i="1"/>
  <c r="V19" i="1"/>
  <c r="AI19" i="1" s="1"/>
  <c r="AN20" i="1" s="1"/>
  <c r="U19" i="1"/>
  <c r="T19" i="1"/>
  <c r="Q19" i="1"/>
  <c r="W19" i="1" s="1"/>
  <c r="L19" i="1"/>
  <c r="BM19" i="1" s="1"/>
  <c r="BP19" i="1" s="1"/>
  <c r="CM19" i="1" s="1"/>
  <c r="K19" i="1"/>
  <c r="BL19" i="1" s="1"/>
  <c r="J19" i="1"/>
  <c r="DD18" i="1"/>
  <c r="BI18" i="1"/>
  <c r="BG18" i="1"/>
  <c r="X18" i="1"/>
  <c r="V18" i="1"/>
  <c r="AI18" i="1" s="1"/>
  <c r="AN19" i="1" s="1"/>
  <c r="U18" i="1"/>
  <c r="T18" i="1"/>
  <c r="Q18" i="1"/>
  <c r="L18" i="1"/>
  <c r="BM18" i="1" s="1"/>
  <c r="K18" i="1"/>
  <c r="BL18" i="1" s="1"/>
  <c r="J18" i="1"/>
  <c r="BK18" i="1" s="1"/>
  <c r="DD17" i="1"/>
  <c r="BI17" i="1"/>
  <c r="BG17" i="1"/>
  <c r="X17" i="1"/>
  <c r="V17" i="1"/>
  <c r="AI17" i="1" s="1"/>
  <c r="AN18" i="1" s="1"/>
  <c r="U17" i="1"/>
  <c r="AH17" i="1" s="1"/>
  <c r="AM17" i="1" s="1"/>
  <c r="T17" i="1"/>
  <c r="Q17" i="1"/>
  <c r="W17" i="1" s="1"/>
  <c r="L17" i="1"/>
  <c r="BM17" i="1" s="1"/>
  <c r="K17" i="1"/>
  <c r="BL17" i="1" s="1"/>
  <c r="J17" i="1"/>
  <c r="BK17" i="1" s="1"/>
  <c r="BN17" i="1" s="1"/>
  <c r="CK17" i="1" s="1"/>
  <c r="BI16" i="1"/>
  <c r="BG16" i="1"/>
  <c r="X16" i="1"/>
  <c r="V16" i="1"/>
  <c r="U16" i="1"/>
  <c r="T16" i="1"/>
  <c r="Q16" i="1"/>
  <c r="W16" i="1" s="1"/>
  <c r="L16" i="1"/>
  <c r="K16" i="1"/>
  <c r="BL16" i="1" s="1"/>
  <c r="BO16" i="1" s="1"/>
  <c r="CL16" i="1" s="1"/>
  <c r="J16" i="1"/>
  <c r="BK16" i="1" s="1"/>
  <c r="BN16" i="1" s="1"/>
  <c r="CK16" i="1" s="1"/>
  <c r="DD15" i="1"/>
  <c r="BI15" i="1"/>
  <c r="BG15" i="1"/>
  <c r="X15" i="1"/>
  <c r="AK15" i="1" s="1"/>
  <c r="AP15" i="1" s="1"/>
  <c r="V15" i="1"/>
  <c r="AI15" i="1" s="1"/>
  <c r="AN16" i="1" s="1"/>
  <c r="U15" i="1"/>
  <c r="T15" i="1"/>
  <c r="Q15" i="1"/>
  <c r="W15" i="1" s="1"/>
  <c r="L15" i="1"/>
  <c r="BM15" i="1" s="1"/>
  <c r="K15" i="1"/>
  <c r="J15" i="1"/>
  <c r="BK15" i="1" s="1"/>
  <c r="DD14" i="1"/>
  <c r="BI14" i="1"/>
  <c r="BG14" i="1"/>
  <c r="X14" i="1"/>
  <c r="V14" i="1"/>
  <c r="AI14" i="1" s="1"/>
  <c r="AN15" i="1" s="1"/>
  <c r="U14" i="1"/>
  <c r="T14" i="1"/>
  <c r="Q14" i="1"/>
  <c r="W14" i="1" s="1"/>
  <c r="L14" i="1"/>
  <c r="BM14" i="1" s="1"/>
  <c r="K14" i="1"/>
  <c r="BL14" i="1" s="1"/>
  <c r="J14" i="1"/>
  <c r="BK14" i="1" s="1"/>
  <c r="BI13" i="1"/>
  <c r="BG13" i="1"/>
  <c r="X13" i="1"/>
  <c r="V13" i="1"/>
  <c r="U13" i="1"/>
  <c r="T13" i="1"/>
  <c r="Q13" i="1"/>
  <c r="L13" i="1"/>
  <c r="BM13" i="1" s="1"/>
  <c r="BP13" i="1" s="1"/>
  <c r="K13" i="1"/>
  <c r="BL13" i="1" s="1"/>
  <c r="J13" i="1"/>
  <c r="BK13" i="1" s="1"/>
  <c r="BI12" i="1"/>
  <c r="BG12" i="1"/>
  <c r="X12" i="1"/>
  <c r="AK12" i="1" s="1"/>
  <c r="AP12" i="1" s="1"/>
  <c r="V12" i="1"/>
  <c r="AI13" i="1" s="1"/>
  <c r="AN14" i="1" s="1"/>
  <c r="U12" i="1"/>
  <c r="T12" i="1"/>
  <c r="Q12" i="1"/>
  <c r="BH12" i="1" s="1"/>
  <c r="L12" i="1"/>
  <c r="BM12" i="1"/>
  <c r="K12" i="1"/>
  <c r="J12" i="1"/>
  <c r="BK12" i="1" s="1"/>
  <c r="BI11" i="1"/>
  <c r="BG11" i="1"/>
  <c r="X11" i="1"/>
  <c r="V11" i="1"/>
  <c r="U11" i="1"/>
  <c r="AH11" i="1" s="1"/>
  <c r="AM11" i="1" s="1"/>
  <c r="T11" i="1"/>
  <c r="Q11" i="1"/>
  <c r="W11" i="1" s="1"/>
  <c r="BI10" i="1"/>
  <c r="BG10" i="1"/>
  <c r="X10" i="1"/>
  <c r="AK10" i="1" s="1"/>
  <c r="AP10" i="1" s="1"/>
  <c r="V10" i="1"/>
  <c r="U10" i="1"/>
  <c r="T10" i="1"/>
  <c r="Q10" i="1"/>
  <c r="W10" i="1" s="1"/>
  <c r="L10" i="1"/>
  <c r="BM10" i="1" s="1"/>
  <c r="K10" i="1"/>
  <c r="BL10" i="1" s="1"/>
  <c r="J10" i="1"/>
  <c r="BK10" i="1" s="1"/>
  <c r="BI9" i="1"/>
  <c r="BG9" i="1"/>
  <c r="T9" i="1"/>
  <c r="BI8" i="1"/>
  <c r="BG8" i="1"/>
  <c r="AV8" i="1"/>
  <c r="AV10" i="1" s="1"/>
  <c r="AV12" i="1" s="1"/>
  <c r="AU8" i="1"/>
  <c r="AU10" i="1" s="1"/>
  <c r="AU12" i="1" s="1"/>
  <c r="AU14" i="1" s="1"/>
  <c r="AU16" i="1" s="1"/>
  <c r="AU18" i="1" s="1"/>
  <c r="AU20" i="1" s="1"/>
  <c r="AU22" i="1" s="1"/>
  <c r="AU24" i="1" s="1"/>
  <c r="AU26" i="1" s="1"/>
  <c r="AU28" i="1" s="1"/>
  <c r="AT8" i="1"/>
  <c r="AT10" i="1" s="1"/>
  <c r="AT12" i="1" s="1"/>
  <c r="AT14" i="1" s="1"/>
  <c r="AT16" i="1" s="1"/>
  <c r="AT18" i="1" s="1"/>
  <c r="AT20" i="1" s="1"/>
  <c r="AT22" i="1" s="1"/>
  <c r="AT24" i="1" s="1"/>
  <c r="AT26" i="1" s="1"/>
  <c r="AT28" i="1" s="1"/>
  <c r="X8" i="1"/>
  <c r="AK8" i="1" s="1"/>
  <c r="AP8" i="1" s="1"/>
  <c r="V8" i="1"/>
  <c r="U8" i="1"/>
  <c r="T8" i="1"/>
  <c r="Q8" i="1"/>
  <c r="W8" i="1" s="1"/>
  <c r="AJ8" i="1" s="1"/>
  <c r="AO8" i="1" s="1"/>
  <c r="L8" i="1"/>
  <c r="BM8" i="1" s="1"/>
  <c r="BP8" i="1" s="1"/>
  <c r="K8" i="1"/>
  <c r="BL8" i="1" s="1"/>
  <c r="J8" i="1"/>
  <c r="BK8" i="1" s="1"/>
  <c r="BG7" i="1"/>
  <c r="BF7" i="1"/>
  <c r="X7" i="1"/>
  <c r="V7" i="1"/>
  <c r="U7" i="1"/>
  <c r="T7" i="1"/>
  <c r="Q7" i="1"/>
  <c r="L7" i="1"/>
  <c r="BM7" i="1" s="1"/>
  <c r="K7" i="1"/>
  <c r="BL7" i="1" s="1"/>
  <c r="BO7" i="1" s="1"/>
  <c r="CL7" i="1" s="1"/>
  <c r="J7" i="1"/>
  <c r="BK7" i="1" s="1"/>
  <c r="BN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V6" i="1"/>
  <c r="U6" i="1"/>
  <c r="T6" i="1"/>
  <c r="Q6" i="1"/>
  <c r="W6" i="1" s="1"/>
  <c r="K6" i="1"/>
  <c r="BL6" i="1" s="1"/>
  <c r="J6" i="1"/>
  <c r="BK6" i="1" s="1"/>
  <c r="BN6" i="1" s="1"/>
  <c r="CK6" i="1" s="1"/>
  <c r="AN24" i="3"/>
  <c r="AR24" i="3" s="1"/>
  <c r="AN13" i="3"/>
  <c r="AR13" i="3" s="1"/>
  <c r="AN15" i="3"/>
  <c r="AR15" i="3" s="1"/>
  <c r="AM11" i="3"/>
  <c r="AQ11" i="3" s="1"/>
  <c r="AO7" i="3"/>
  <c r="AS8" i="3" s="1"/>
  <c r="BF17" i="5"/>
  <c r="BJ17" i="5" s="1"/>
  <c r="AM6" i="3"/>
  <c r="AQ6" i="3" s="1"/>
  <c r="AN14" i="3"/>
  <c r="AR14" i="3" s="1"/>
  <c r="AM18" i="3"/>
  <c r="AQ18" i="3" s="1"/>
  <c r="AO8" i="3"/>
  <c r="AS9" i="3" s="1"/>
  <c r="AM15" i="3"/>
  <c r="AQ15" i="3" s="1"/>
  <c r="AM16" i="3"/>
  <c r="AQ16" i="3" s="1"/>
  <c r="AM17" i="3"/>
  <c r="AQ17" i="3" s="1"/>
  <c r="AO19" i="3"/>
  <c r="AS20" i="3" s="1"/>
  <c r="AN8" i="3"/>
  <c r="AR8" i="3" s="1"/>
  <c r="BB8" i="3" s="1"/>
  <c r="AN9" i="3"/>
  <c r="AR9" i="3" s="1"/>
  <c r="X6" i="5"/>
  <c r="AA6" i="5" s="1"/>
  <c r="X11" i="5"/>
  <c r="AA11" i="5" s="1"/>
  <c r="X18" i="5"/>
  <c r="AA18" i="5" s="1"/>
  <c r="X9" i="5"/>
  <c r="AA9" i="5" s="1"/>
  <c r="X14" i="5"/>
  <c r="AA14" i="5"/>
  <c r="BH18" i="1"/>
  <c r="BH8" i="1"/>
  <c r="AK18" i="1"/>
  <c r="AP18" i="1" s="1"/>
  <c r="AK19" i="1"/>
  <c r="AP19" i="1" s="1"/>
  <c r="AH16" i="1"/>
  <c r="AM16" i="1" s="1"/>
  <c r="AI7" i="1"/>
  <c r="AN8" i="1" s="1"/>
  <c r="AH19" i="1"/>
  <c r="AM19" i="1" s="1"/>
  <c r="AI21" i="1"/>
  <c r="AN22" i="1" s="1"/>
  <c r="AI11" i="1"/>
  <c r="AN12" i="1" s="1"/>
  <c r="AH10" i="1"/>
  <c r="AM10" i="1" s="1"/>
  <c r="AI20" i="1"/>
  <c r="AN21" i="1" s="1"/>
  <c r="AN13" i="5"/>
  <c r="BF16" i="5"/>
  <c r="BJ16" i="5" s="1"/>
  <c r="X22" i="5"/>
  <c r="AA22" i="5" s="1"/>
  <c r="Y19" i="5"/>
  <c r="AB20" i="5" s="1"/>
  <c r="BP8" i="3"/>
  <c r="CM8" i="3" s="1"/>
  <c r="AN7" i="3"/>
  <c r="AR7" i="3" s="1"/>
  <c r="BB7" i="3" s="1"/>
  <c r="AM12" i="3"/>
  <c r="AQ12" i="3" s="1"/>
  <c r="BM17" i="3"/>
  <c r="BM19" i="3"/>
  <c r="BO19" i="3"/>
  <c r="AO11" i="3"/>
  <c r="AS12" i="3" s="1"/>
  <c r="AN12" i="3"/>
  <c r="AR12" i="3" s="1"/>
  <c r="AN21" i="3"/>
  <c r="AR21" i="3" s="1"/>
  <c r="BO12" i="3"/>
  <c r="AO23" i="3"/>
  <c r="AS24" i="3" s="1"/>
  <c r="BM21" i="3"/>
  <c r="BP21" i="3" s="1"/>
  <c r="BO21" i="3"/>
  <c r="AM20" i="3"/>
  <c r="AQ20" i="3" s="1"/>
  <c r="BN22" i="3"/>
  <c r="BQ22" i="3" s="1"/>
  <c r="CN22" i="3" s="1"/>
  <c r="M15" i="12" s="1"/>
  <c r="AI16" i="1"/>
  <c r="AN17" i="1" s="1"/>
  <c r="BP12" i="1"/>
  <c r="BM16" i="1"/>
  <c r="BP16" i="1" s="1"/>
  <c r="AK22" i="1"/>
  <c r="AP22" i="1" s="1"/>
  <c r="BH7" i="1"/>
  <c r="AH9" i="1"/>
  <c r="AM9" i="1" s="1"/>
  <c r="BL12" i="1"/>
  <c r="AE12" i="1" s="1"/>
  <c r="AR13" i="1" s="1"/>
  <c r="BP14" i="1"/>
  <c r="CM14" i="1" s="1"/>
  <c r="BN18" i="1"/>
  <c r="CK18" i="1" s="1"/>
  <c r="W20" i="1"/>
  <c r="BL15" i="1"/>
  <c r="BO15" i="1" s="1"/>
  <c r="CL15" i="1" s="1"/>
  <c r="BK19" i="1"/>
  <c r="W7" i="1"/>
  <c r="AI12" i="1"/>
  <c r="AN13" i="1" s="1"/>
  <c r="AE16" i="1"/>
  <c r="W18" i="1"/>
  <c r="AD18" i="1" s="1"/>
  <c r="AQ19" i="1" s="1"/>
  <c r="BL23" i="1"/>
  <c r="BO23" i="1" s="1"/>
  <c r="CL23" i="1" s="1"/>
  <c r="AH23" i="1"/>
  <c r="AM23" i="1" s="1"/>
  <c r="BW24" i="1"/>
  <c r="CO24" i="1" s="1"/>
  <c r="AN16" i="5"/>
  <c r="AN15" i="5"/>
  <c r="AN20" i="5"/>
  <c r="AN17" i="5"/>
  <c r="BR12" i="3"/>
  <c r="CO12" i="3" s="1"/>
  <c r="BY23" i="3"/>
  <c r="CQ23" i="3" s="1"/>
  <c r="BZ23" i="3"/>
  <c r="CR23" i="3" s="1"/>
  <c r="AI23" i="3"/>
  <c r="BP17" i="3"/>
  <c r="CM17" i="3" s="1"/>
  <c r="AI17" i="3"/>
  <c r="BR19" i="3"/>
  <c r="CO19" i="3" s="1"/>
  <c r="N12" i="12" s="1"/>
  <c r="AF11" i="1"/>
  <c r="AS12" i="1" s="1"/>
  <c r="CK7" i="1"/>
  <c r="BP21" i="1"/>
  <c r="CM21" i="1" s="1"/>
  <c r="AR17" i="1"/>
  <c r="BN19" i="1"/>
  <c r="CK19" i="1" s="1"/>
  <c r="BO12" i="1"/>
  <c r="CL12" i="1" s="1"/>
  <c r="AF16" i="1"/>
  <c r="AS17" i="1" s="1"/>
  <c r="L16" i="12"/>
  <c r="CC23" i="3"/>
  <c r="CU23" i="3" s="1"/>
  <c r="CB23" i="3"/>
  <c r="CT23" i="3" s="1"/>
  <c r="BF13" i="5"/>
  <c r="BJ13" i="5" s="1"/>
  <c r="F9" i="4" l="1"/>
  <c r="CH27" i="3" s="1"/>
  <c r="F10" i="4" s="1"/>
  <c r="CH28" i="3" s="1"/>
  <c r="BO21" i="1"/>
  <c r="AE21" i="1"/>
  <c r="AR22" i="1" s="1"/>
  <c r="AY22" i="1" s="1"/>
  <c r="BC22" i="1" s="1"/>
  <c r="Q19" i="12"/>
  <c r="Q20" i="12"/>
  <c r="Q21" i="12" s="1"/>
  <c r="X16" i="5"/>
  <c r="AA16" i="5" s="1"/>
  <c r="X15" i="5"/>
  <c r="AA15" i="5" s="1"/>
  <c r="AK21" i="3"/>
  <c r="AV22" i="3" s="1"/>
  <c r="BC22" i="3" s="1"/>
  <c r="BG22" i="3" s="1"/>
  <c r="BR21" i="3"/>
  <c r="CO21" i="3" s="1"/>
  <c r="N14" i="12" s="1"/>
  <c r="BP19" i="3"/>
  <c r="CM19" i="3" s="1"/>
  <c r="CK19" i="3" s="1"/>
  <c r="AI19" i="3"/>
  <c r="AT20" i="3" s="1"/>
  <c r="AH22" i="1"/>
  <c r="AM22" i="1" s="1"/>
  <c r="BN23" i="1"/>
  <c r="CK23" i="1" s="1"/>
  <c r="AD23" i="1"/>
  <c r="AQ24" i="1" s="1"/>
  <c r="AI5" i="3"/>
  <c r="AT6" i="3" s="1"/>
  <c r="BP5" i="3"/>
  <c r="CM5" i="3" s="1"/>
  <c r="AM7" i="3"/>
  <c r="AQ7" i="3" s="1"/>
  <c r="AM8" i="3"/>
  <c r="AQ8" i="3" s="1"/>
  <c r="AM9" i="3"/>
  <c r="AQ9" i="3" s="1"/>
  <c r="AM10" i="3"/>
  <c r="AQ10" i="3" s="1"/>
  <c r="AO13" i="3"/>
  <c r="AS14" i="3" s="1"/>
  <c r="AO14" i="3"/>
  <c r="AS15" i="3" s="1"/>
  <c r="AO15" i="3"/>
  <c r="AS16" i="3" s="1"/>
  <c r="AO16" i="3"/>
  <c r="AS17" i="3" s="1"/>
  <c r="AO18" i="3"/>
  <c r="AS19" i="3" s="1"/>
  <c r="AO17" i="3"/>
  <c r="AS18" i="3" s="1"/>
  <c r="AN19" i="3"/>
  <c r="AR19" i="3" s="1"/>
  <c r="AN18" i="3"/>
  <c r="AR18" i="3" s="1"/>
  <c r="AN22" i="3"/>
  <c r="AR22" i="3" s="1"/>
  <c r="AJ22" i="3"/>
  <c r="AU23" i="3" s="1"/>
  <c r="BB23" i="3" s="1"/>
  <c r="BF23" i="3" s="1"/>
  <c r="Y6" i="5"/>
  <c r="AB7" i="5" s="1"/>
  <c r="BK24" i="5"/>
  <c r="BK25" i="5" s="1"/>
  <c r="BF22" i="5"/>
  <c r="BJ22" i="5" s="1"/>
  <c r="Y8" i="5"/>
  <c r="AB9" i="5" s="1"/>
  <c r="Y9" i="5"/>
  <c r="AB10" i="5" s="1"/>
  <c r="CV25" i="1"/>
  <c r="CU25" i="1"/>
  <c r="AI9" i="1"/>
  <c r="AN10" i="1" s="1"/>
  <c r="AI10" i="1"/>
  <c r="AN11" i="1" s="1"/>
  <c r="I7" i="2"/>
  <c r="CH26" i="1" s="1"/>
  <c r="CV26" i="1" s="1"/>
  <c r="AY13" i="1"/>
  <c r="BC13" i="1" s="1"/>
  <c r="AH7" i="1"/>
  <c r="AM7" i="1" s="1"/>
  <c r="AD7" i="1"/>
  <c r="AQ8" i="1" s="1"/>
  <c r="AH8" i="1"/>
  <c r="AM8" i="1" s="1"/>
  <c r="AX8" i="1" s="1"/>
  <c r="BB8" i="1" s="1"/>
  <c r="AH12" i="1"/>
  <c r="AM12" i="1" s="1"/>
  <c r="AH13" i="1"/>
  <c r="AM13" i="1" s="1"/>
  <c r="BP18" i="1"/>
  <c r="CM18" i="1" s="1"/>
  <c r="AF18" i="1"/>
  <c r="AS19" i="1" s="1"/>
  <c r="AO22" i="3"/>
  <c r="AS23" i="3" s="1"/>
  <c r="P21" i="12"/>
  <c r="P19" i="12"/>
  <c r="P20" i="12" s="1"/>
  <c r="Y22" i="5"/>
  <c r="AB23" i="5" s="1"/>
  <c r="X21" i="5"/>
  <c r="AA21" i="5" s="1"/>
  <c r="X17" i="5"/>
  <c r="AA17" i="5" s="1"/>
  <c r="BQ20" i="1"/>
  <c r="AD24" i="1"/>
  <c r="AQ25" i="1" s="1"/>
  <c r="BH22" i="1"/>
  <c r="C6" i="2"/>
  <c r="BF25" i="1" s="1"/>
  <c r="C7" i="2" s="1"/>
  <c r="BF26" i="1" s="1"/>
  <c r="C8" i="2" s="1"/>
  <c r="BF27" i="1" s="1"/>
  <c r="C9" i="2" s="1"/>
  <c r="BF28" i="1" s="1"/>
  <c r="AE15" i="1"/>
  <c r="AR16" i="1" s="1"/>
  <c r="AY16" i="1" s="1"/>
  <c r="BC16" i="1" s="1"/>
  <c r="AD20" i="1"/>
  <c r="AQ21" i="1" s="1"/>
  <c r="BH15" i="1"/>
  <c r="AE23" i="1"/>
  <c r="AR24" i="1" s="1"/>
  <c r="AE20" i="1"/>
  <c r="AR21" i="1" s="1"/>
  <c r="AY21" i="1" s="1"/>
  <c r="BC21" i="1" s="1"/>
  <c r="BH20" i="1"/>
  <c r="BH17" i="1"/>
  <c r="AK19" i="3"/>
  <c r="AI10" i="3"/>
  <c r="AT11" i="3" s="1"/>
  <c r="BH19" i="1"/>
  <c r="AH18" i="1"/>
  <c r="AM18" i="1" s="1"/>
  <c r="AM19" i="3"/>
  <c r="AQ19" i="3" s="1"/>
  <c r="BA19" i="3" s="1"/>
  <c r="BE19" i="3" s="1"/>
  <c r="BJ25" i="3"/>
  <c r="W25" i="3" s="1"/>
  <c r="AM22" i="3"/>
  <c r="AQ22" i="3" s="1"/>
  <c r="AN23" i="3"/>
  <c r="AR23" i="3" s="1"/>
  <c r="C6" i="4"/>
  <c r="BI24" i="3" s="1"/>
  <c r="C7" i="4" s="1"/>
  <c r="BI25" i="3" s="1"/>
  <c r="Y23" i="5"/>
  <c r="AB24" i="5" s="1"/>
  <c r="AK24" i="5"/>
  <c r="D7" i="6" s="1"/>
  <c r="AK25" i="5" s="1"/>
  <c r="D8" i="6" s="1"/>
  <c r="AK26" i="5" s="1"/>
  <c r="D9" i="6" s="1"/>
  <c r="AK27" i="5" s="1"/>
  <c r="D10" i="6" s="1"/>
  <c r="AK28" i="5" s="1"/>
  <c r="Y16" i="5"/>
  <c r="AB17" i="5" s="1"/>
  <c r="Y11" i="5"/>
  <c r="AB12" i="5" s="1"/>
  <c r="X19" i="5"/>
  <c r="AA19" i="5" s="1"/>
  <c r="E10" i="12"/>
  <c r="BF23" i="5"/>
  <c r="Y17" i="5"/>
  <c r="AB18" i="5" s="1"/>
  <c r="Y13" i="5"/>
  <c r="AB14" i="5" s="1"/>
  <c r="J12" i="5"/>
  <c r="BJ14" i="5"/>
  <c r="BX14" i="5" s="1"/>
  <c r="E13" i="12"/>
  <c r="BX20" i="5"/>
  <c r="BM20" i="5"/>
  <c r="O13" i="12" s="1"/>
  <c r="BF19" i="5"/>
  <c r="BJ19" i="5" s="1"/>
  <c r="BX19" i="5" s="1"/>
  <c r="V19" i="5"/>
  <c r="AC20" i="5" s="1"/>
  <c r="AF20" i="5" s="1"/>
  <c r="AH20" i="5" s="1"/>
  <c r="V15" i="5"/>
  <c r="X13" i="5"/>
  <c r="AA13" i="5" s="1"/>
  <c r="D10" i="5"/>
  <c r="J10" i="5" s="1"/>
  <c r="J11" i="5"/>
  <c r="G11" i="5"/>
  <c r="L11" i="5" s="1"/>
  <c r="AM11" i="5" s="1"/>
  <c r="BM18" i="5"/>
  <c r="O11" i="12" s="1"/>
  <c r="BX18" i="5"/>
  <c r="BM19" i="5"/>
  <c r="O12" i="12" s="1"/>
  <c r="E7" i="6"/>
  <c r="BD25" i="5" s="1"/>
  <c r="BF24" i="5"/>
  <c r="Y21" i="5"/>
  <c r="AB22" i="5" s="1"/>
  <c r="AN19" i="5"/>
  <c r="Y18" i="5"/>
  <c r="AB19" i="5" s="1"/>
  <c r="X12" i="5"/>
  <c r="AA12" i="5" s="1"/>
  <c r="E14" i="12"/>
  <c r="V18" i="5"/>
  <c r="V14" i="5"/>
  <c r="BM14" i="5"/>
  <c r="O7" i="12" s="1"/>
  <c r="Y14" i="5"/>
  <c r="AB15" i="5" s="1"/>
  <c r="X7" i="5"/>
  <c r="AA7" i="5" s="1"/>
  <c r="AJ24" i="5"/>
  <c r="C7" i="6" s="1"/>
  <c r="AJ25" i="5" s="1"/>
  <c r="C8" i="6" s="1"/>
  <c r="AJ26" i="5" s="1"/>
  <c r="V20" i="5"/>
  <c r="V16" i="5"/>
  <c r="G12" i="5"/>
  <c r="L12" i="5" s="1"/>
  <c r="AM12" i="5" s="1"/>
  <c r="BJ23" i="5"/>
  <c r="V17" i="5"/>
  <c r="V13" i="5"/>
  <c r="BX13" i="5"/>
  <c r="BM13" i="5"/>
  <c r="O6" i="12" s="1"/>
  <c r="BM16" i="5"/>
  <c r="O9" i="12" s="1"/>
  <c r="BX16" i="5"/>
  <c r="BM17" i="5"/>
  <c r="O10" i="12" s="1"/>
  <c r="BX17" i="5"/>
  <c r="BX15" i="5"/>
  <c r="BM15" i="5"/>
  <c r="O8" i="12" s="1"/>
  <c r="BX22" i="5"/>
  <c r="BM22" i="5"/>
  <c r="O15" i="12" s="1"/>
  <c r="BM21" i="5"/>
  <c r="O14" i="12" s="1"/>
  <c r="BX21" i="5"/>
  <c r="BL26" i="5"/>
  <c r="BL27" i="5" s="1"/>
  <c r="BL28" i="5" s="1"/>
  <c r="AN22" i="5"/>
  <c r="V22" i="5"/>
  <c r="AN23" i="5"/>
  <c r="AT23" i="5"/>
  <c r="BO23" i="5" s="1"/>
  <c r="V23" i="5"/>
  <c r="N24" i="5"/>
  <c r="D9" i="5"/>
  <c r="AN21" i="5"/>
  <c r="V21" i="5"/>
  <c r="E8" i="12"/>
  <c r="AI18" i="3"/>
  <c r="AT19" i="3" s="1"/>
  <c r="BP18" i="3"/>
  <c r="CM18" i="3" s="1"/>
  <c r="L11" i="12" s="1"/>
  <c r="AK12" i="3"/>
  <c r="AV13" i="3" s="1"/>
  <c r="AO10" i="3"/>
  <c r="AS11" i="3" s="1"/>
  <c r="AN17" i="3"/>
  <c r="AR17" i="3" s="1"/>
  <c r="E15" i="12"/>
  <c r="E11" i="12"/>
  <c r="AK23" i="3"/>
  <c r="AV24" i="3" s="1"/>
  <c r="AI21" i="3"/>
  <c r="AT22" i="3" s="1"/>
  <c r="BA22" i="3" s="1"/>
  <c r="BE22" i="3" s="1"/>
  <c r="AM21" i="3"/>
  <c r="AQ21" i="3" s="1"/>
  <c r="AI8" i="3"/>
  <c r="AT9" i="3" s="1"/>
  <c r="BA9" i="3" s="1"/>
  <c r="BE9" i="3" s="1"/>
  <c r="AN10" i="3"/>
  <c r="AR10" i="3" s="1"/>
  <c r="BA11" i="3"/>
  <c r="BE11" i="3" s="1"/>
  <c r="AY15" i="3"/>
  <c r="AY17" i="3" s="1"/>
  <c r="AY19" i="3" s="1"/>
  <c r="BC13" i="3"/>
  <c r="BG13" i="3" s="1"/>
  <c r="BP11" i="3"/>
  <c r="CM11" i="3" s="1"/>
  <c r="AI11" i="3"/>
  <c r="AT12" i="3" s="1"/>
  <c r="BA12" i="3" s="1"/>
  <c r="BE12" i="3" s="1"/>
  <c r="BP20" i="3"/>
  <c r="CM20" i="3" s="1"/>
  <c r="L13" i="12" s="1"/>
  <c r="AI20" i="3"/>
  <c r="AT21" i="3" s="1"/>
  <c r="Y25" i="3"/>
  <c r="BK26" i="3"/>
  <c r="E9" i="4" s="1"/>
  <c r="BK27" i="3" s="1"/>
  <c r="E10" i="4" s="1"/>
  <c r="BK28" i="3" s="1"/>
  <c r="BP7" i="3"/>
  <c r="CM7" i="3" s="1"/>
  <c r="AI7" i="3"/>
  <c r="AT8" i="3" s="1"/>
  <c r="AK13" i="3"/>
  <c r="AV14" i="3" s="1"/>
  <c r="BC14" i="3" s="1"/>
  <c r="BG14" i="3" s="1"/>
  <c r="BR13" i="3"/>
  <c r="CO13" i="3" s="1"/>
  <c r="N6" i="12" s="1"/>
  <c r="AI16" i="3"/>
  <c r="AT17" i="3" s="1"/>
  <c r="BA17" i="3" s="1"/>
  <c r="BE17" i="3" s="1"/>
  <c r="BP16" i="3"/>
  <c r="CM16" i="3" s="1"/>
  <c r="L9" i="12" s="1"/>
  <c r="DA23" i="3"/>
  <c r="BE6" i="3"/>
  <c r="BA20" i="3"/>
  <c r="BE20" i="3" s="1"/>
  <c r="E12" i="12"/>
  <c r="AO6" i="3"/>
  <c r="AS7" i="3" s="1"/>
  <c r="CM10" i="3"/>
  <c r="BR14" i="3"/>
  <c r="CO14" i="3" s="1"/>
  <c r="N7" i="12" s="1"/>
  <c r="AK14" i="3"/>
  <c r="AK17" i="3"/>
  <c r="BR17" i="3"/>
  <c r="CO17" i="3" s="1"/>
  <c r="N10" i="12" s="1"/>
  <c r="BR20" i="3"/>
  <c r="CO20" i="3" s="1"/>
  <c r="N13" i="12" s="1"/>
  <c r="AK20" i="3"/>
  <c r="AK22" i="3"/>
  <c r="BR22" i="3"/>
  <c r="CO22" i="3" s="1"/>
  <c r="N15" i="12" s="1"/>
  <c r="BP12" i="3"/>
  <c r="CM12" i="3" s="1"/>
  <c r="AI12" i="3"/>
  <c r="AK16" i="3"/>
  <c r="BR16" i="3"/>
  <c r="CO16" i="3" s="1"/>
  <c r="N9" i="12" s="1"/>
  <c r="AJ8" i="3"/>
  <c r="BQ8" i="3"/>
  <c r="CN8" i="3" s="1"/>
  <c r="BQ10" i="3"/>
  <c r="CN10" i="3" s="1"/>
  <c r="AJ10" i="3"/>
  <c r="BP9" i="3"/>
  <c r="CM9" i="3" s="1"/>
  <c r="AI9" i="3"/>
  <c r="AK10" i="3"/>
  <c r="BR10" i="3"/>
  <c r="CO10" i="3" s="1"/>
  <c r="BR15" i="3"/>
  <c r="CO15" i="3" s="1"/>
  <c r="N8" i="12" s="1"/>
  <c r="AK15" i="3"/>
  <c r="AK18" i="3"/>
  <c r="BR18" i="3"/>
  <c r="CO18" i="3" s="1"/>
  <c r="N11" i="12" s="1"/>
  <c r="AJ19" i="3"/>
  <c r="AU20" i="3" s="1"/>
  <c r="BB20" i="3" s="1"/>
  <c r="BF20" i="3" s="1"/>
  <c r="BQ19" i="3"/>
  <c r="CN19" i="3" s="1"/>
  <c r="DB23" i="3"/>
  <c r="AM14" i="3"/>
  <c r="AQ14" i="3" s="1"/>
  <c r="L10" i="12"/>
  <c r="L12" i="12"/>
  <c r="AT18" i="3"/>
  <c r="BA18" i="3" s="1"/>
  <c r="BE18" i="3" s="1"/>
  <c r="BC24" i="3"/>
  <c r="BO24" i="3" s="1"/>
  <c r="BP6" i="3"/>
  <c r="CM6" i="3" s="1"/>
  <c r="AI6" i="3"/>
  <c r="AJ13" i="3"/>
  <c r="BQ13" i="3"/>
  <c r="CN13" i="3" s="1"/>
  <c r="M6" i="12" s="1"/>
  <c r="AJ20" i="3"/>
  <c r="BQ20" i="3"/>
  <c r="AJ21" i="3"/>
  <c r="BQ21" i="3"/>
  <c r="CN21" i="3" s="1"/>
  <c r="M14" i="12" s="1"/>
  <c r="AI22" i="3"/>
  <c r="BP22" i="3"/>
  <c r="CX24" i="3"/>
  <c r="H7" i="4"/>
  <c r="CJ25" i="3" s="1"/>
  <c r="CW24" i="3"/>
  <c r="AJ23" i="3"/>
  <c r="BQ23" i="3"/>
  <c r="BR9" i="3"/>
  <c r="CO9" i="3" s="1"/>
  <c r="AK9" i="3"/>
  <c r="AV20" i="3"/>
  <c r="BC20" i="3" s="1"/>
  <c r="BG20" i="3" s="1"/>
  <c r="CM21" i="3"/>
  <c r="AT24" i="3"/>
  <c r="BJ26" i="3"/>
  <c r="D9" i="4" s="1"/>
  <c r="BJ27" i="3" s="1"/>
  <c r="AJ9" i="3"/>
  <c r="BQ9" i="3"/>
  <c r="BR11" i="3"/>
  <c r="CO11" i="3" s="1"/>
  <c r="AK11" i="3"/>
  <c r="BQ12" i="3"/>
  <c r="AJ12" i="3"/>
  <c r="AI14" i="3"/>
  <c r="BP14" i="3"/>
  <c r="BP15" i="3"/>
  <c r="AI15" i="3"/>
  <c r="AY21" i="3"/>
  <c r="BQ11" i="3"/>
  <c r="AJ11" i="3"/>
  <c r="BQ14" i="3"/>
  <c r="CN14" i="3" s="1"/>
  <c r="M7" i="12" s="1"/>
  <c r="AJ14" i="3"/>
  <c r="BQ15" i="3"/>
  <c r="CN15" i="3" s="1"/>
  <c r="M8" i="12" s="1"/>
  <c r="AJ15" i="3"/>
  <c r="BQ16" i="3"/>
  <c r="AJ16" i="3"/>
  <c r="AJ17" i="3"/>
  <c r="BQ17" i="3"/>
  <c r="AJ18" i="3"/>
  <c r="BQ18" i="3"/>
  <c r="X24" i="3"/>
  <c r="AI13" i="3"/>
  <c r="BP13" i="3"/>
  <c r="E9" i="12"/>
  <c r="E7" i="12"/>
  <c r="E16" i="12"/>
  <c r="E6" i="12"/>
  <c r="AJ7" i="1"/>
  <c r="AO7" i="1" s="1"/>
  <c r="AI23" i="1"/>
  <c r="AN24" i="1" s="1"/>
  <c r="AY24" i="1" s="1"/>
  <c r="BC24" i="1" s="1"/>
  <c r="AK9" i="1"/>
  <c r="AP9" i="1" s="1"/>
  <c r="AK11" i="1"/>
  <c r="AP11" i="1" s="1"/>
  <c r="AH20" i="1"/>
  <c r="AM20" i="1" s="1"/>
  <c r="AK20" i="1"/>
  <c r="AP20" i="1" s="1"/>
  <c r="AE7" i="1"/>
  <c r="AR8" i="1" s="1"/>
  <c r="AY8" i="1" s="1"/>
  <c r="BC8" i="1" s="1"/>
  <c r="BH13" i="1"/>
  <c r="AK13" i="1"/>
  <c r="AP13" i="1" s="1"/>
  <c r="AZ13" i="1" s="1"/>
  <c r="BD13" i="1" s="1"/>
  <c r="AH14" i="1"/>
  <c r="AM14" i="1" s="1"/>
  <c r="AK16" i="1"/>
  <c r="AP16" i="1" s="1"/>
  <c r="BN12" i="1"/>
  <c r="AF17" i="1"/>
  <c r="AS18" i="1" s="1"/>
  <c r="BP17" i="1"/>
  <c r="CM17" i="1" s="1"/>
  <c r="AJ11" i="1"/>
  <c r="AO11" i="1" s="1"/>
  <c r="BP22" i="1"/>
  <c r="CM22" i="1" s="1"/>
  <c r="AF22" i="1"/>
  <c r="AS23" i="1" s="1"/>
  <c r="CM16" i="1"/>
  <c r="BQ16" i="1"/>
  <c r="BP7" i="1"/>
  <c r="BQ7" i="1" s="1"/>
  <c r="AF7" i="1"/>
  <c r="AS8" i="1" s="1"/>
  <c r="AZ8" i="1" s="1"/>
  <c r="BD8" i="1" s="1"/>
  <c r="BN13" i="1"/>
  <c r="CK13" i="1" s="1"/>
  <c r="AF15" i="1"/>
  <c r="AS16" i="1" s="1"/>
  <c r="BP15" i="1"/>
  <c r="CM15" i="1" s="1"/>
  <c r="AF20" i="1"/>
  <c r="AS21" i="1" s="1"/>
  <c r="AK14" i="1"/>
  <c r="AP14" i="1" s="1"/>
  <c r="AH15" i="1"/>
  <c r="AM15" i="1" s="1"/>
  <c r="BH16" i="1"/>
  <c r="BH14" i="1"/>
  <c r="AI8" i="1"/>
  <c r="AN9" i="1" s="1"/>
  <c r="W13" i="1"/>
  <c r="AJ13" i="1" s="1"/>
  <c r="AO13" i="1" s="1"/>
  <c r="BH21" i="1"/>
  <c r="AJ21" i="1"/>
  <c r="AO21" i="1" s="1"/>
  <c r="W22" i="1"/>
  <c r="AF13" i="1"/>
  <c r="AS14" i="1" s="1"/>
  <c r="AZ14" i="1" s="1"/>
  <c r="BD14" i="1" s="1"/>
  <c r="AK23" i="1"/>
  <c r="AP23" i="1" s="1"/>
  <c r="BH10" i="1"/>
  <c r="AF12" i="1"/>
  <c r="AS13" i="1" s="1"/>
  <c r="AK17" i="1"/>
  <c r="AP17" i="1" s="1"/>
  <c r="BN24" i="1"/>
  <c r="BX24" i="1"/>
  <c r="CP24" i="1" s="1"/>
  <c r="AD21" i="1"/>
  <c r="AQ22" i="1" s="1"/>
  <c r="AF19" i="1"/>
  <c r="AS20" i="1" s="1"/>
  <c r="W12" i="1"/>
  <c r="AJ12" i="1" s="1"/>
  <c r="AO12" i="1" s="1"/>
  <c r="BH11" i="1"/>
  <c r="BH9" i="1"/>
  <c r="AD16" i="1"/>
  <c r="AQ17" i="1" s="1"/>
  <c r="AJ16" i="1"/>
  <c r="AO16" i="1" s="1"/>
  <c r="AF23" i="1"/>
  <c r="AS24" i="1" s="1"/>
  <c r="BP23" i="1"/>
  <c r="AF24" i="1"/>
  <c r="AS25" i="1" s="1"/>
  <c r="BP24" i="1"/>
  <c r="CM24" i="1" s="1"/>
  <c r="AV14" i="1"/>
  <c r="AV16" i="1" s="1"/>
  <c r="AV18" i="1" s="1"/>
  <c r="AV20" i="1" s="1"/>
  <c r="AZ12" i="1"/>
  <c r="BD12" i="1" s="1"/>
  <c r="AY17" i="1"/>
  <c r="BC17" i="1" s="1"/>
  <c r="AK21" i="1"/>
  <c r="AP21" i="1" s="1"/>
  <c r="AI24" i="1"/>
  <c r="AN25" i="1" s="1"/>
  <c r="BI25" i="1"/>
  <c r="F7" i="2" s="1"/>
  <c r="BI26" i="1" s="1"/>
  <c r="AD6" i="1"/>
  <c r="AF14" i="1"/>
  <c r="AS15" i="1" s="1"/>
  <c r="CZ20" i="1"/>
  <c r="J12" i="12" s="1"/>
  <c r="CZ7" i="1"/>
  <c r="CI7" i="1"/>
  <c r="BN15" i="1"/>
  <c r="AD15" i="1"/>
  <c r="AJ17" i="1"/>
  <c r="AO17" i="1" s="1"/>
  <c r="AX17" i="1" s="1"/>
  <c r="BB17" i="1" s="1"/>
  <c r="AD17" i="1"/>
  <c r="AJ18" i="1"/>
  <c r="AO18" i="1" s="1"/>
  <c r="AE19" i="1"/>
  <c r="BO19" i="1"/>
  <c r="AJ10" i="1"/>
  <c r="AO10" i="1" s="1"/>
  <c r="AJ9" i="1"/>
  <c r="AO9" i="1" s="1"/>
  <c r="I8" i="2"/>
  <c r="CH27" i="1" s="1"/>
  <c r="CV27" i="1" s="1"/>
  <c r="BO17" i="1"/>
  <c r="AE17" i="1"/>
  <c r="BN10" i="1"/>
  <c r="CK10" i="1" s="1"/>
  <c r="AD10" i="1"/>
  <c r="AE14" i="1"/>
  <c r="BO14" i="1"/>
  <c r="CL14" i="1" s="1"/>
  <c r="AV15" i="1"/>
  <c r="AV17" i="1" s="1"/>
  <c r="AV19" i="1" s="1"/>
  <c r="BO11" i="1"/>
  <c r="CL11" i="1" s="1"/>
  <c r="AE11" i="1"/>
  <c r="BO10" i="1"/>
  <c r="CL10" i="1" s="1"/>
  <c r="AE10" i="1"/>
  <c r="AE13" i="1"/>
  <c r="BO13" i="1"/>
  <c r="AJ19" i="1"/>
  <c r="AO19" i="1" s="1"/>
  <c r="AX19" i="1" s="1"/>
  <c r="BB19" i="1" s="1"/>
  <c r="AJ20" i="1"/>
  <c r="AO20" i="1" s="1"/>
  <c r="AD19" i="1"/>
  <c r="AE22" i="1"/>
  <c r="BO22" i="1"/>
  <c r="AJ15" i="1"/>
  <c r="AO15" i="1" s="1"/>
  <c r="BG25" i="1"/>
  <c r="BH23" i="1"/>
  <c r="AX24" i="1"/>
  <c r="BB24" i="1" s="1"/>
  <c r="AD22" i="1"/>
  <c r="AQ23" i="1" s="1"/>
  <c r="AF8" i="1"/>
  <c r="AD8" i="1"/>
  <c r="BN8" i="1"/>
  <c r="BN14" i="1"/>
  <c r="AD14" i="1"/>
  <c r="AF9" i="1"/>
  <c r="BP9" i="1"/>
  <c r="CF26" i="1"/>
  <c r="AE8" i="1"/>
  <c r="BO8" i="1"/>
  <c r="CL8" i="1" s="1"/>
  <c r="CX27" i="1"/>
  <c r="CX28" i="1" s="1"/>
  <c r="R25" i="1"/>
  <c r="BP10" i="1"/>
  <c r="AF10" i="1"/>
  <c r="AE18" i="1"/>
  <c r="BO18" i="1"/>
  <c r="H7" i="2"/>
  <c r="CG26" i="1" s="1"/>
  <c r="BN11" i="1"/>
  <c r="AD11" i="1"/>
  <c r="BO9" i="1"/>
  <c r="CL9" i="1" s="1"/>
  <c r="AE9" i="1"/>
  <c r="AD9" i="1"/>
  <c r="BN9" i="1"/>
  <c r="AE6" i="1"/>
  <c r="AR7" i="1" s="1"/>
  <c r="AY7" i="1" s="1"/>
  <c r="BC7" i="1" s="1"/>
  <c r="BO6" i="1"/>
  <c r="CL6" i="1" s="1"/>
  <c r="CI6" i="1" s="1"/>
  <c r="AE24" i="1"/>
  <c r="BO24" i="1"/>
  <c r="CW27" i="1"/>
  <c r="CW28" i="1" s="1"/>
  <c r="BH24" i="1"/>
  <c r="CU26" i="1" l="1"/>
  <c r="BA8" i="3"/>
  <c r="BE8" i="3" s="1"/>
  <c r="O24" i="5"/>
  <c r="O25" i="5" s="1"/>
  <c r="BK26" i="5"/>
  <c r="BK27" i="5" s="1"/>
  <c r="BK28" i="5" s="1"/>
  <c r="CL21" i="1"/>
  <c r="BQ21" i="1"/>
  <c r="AC16" i="5"/>
  <c r="AF16" i="5" s="1"/>
  <c r="AH16" i="5" s="1"/>
  <c r="G10" i="5"/>
  <c r="L10" i="5" s="1"/>
  <c r="AC18" i="5"/>
  <c r="AF18" i="5" s="1"/>
  <c r="AH18" i="5" s="1"/>
  <c r="AC21" i="5"/>
  <c r="AF21" i="5" s="1"/>
  <c r="AH21" i="5" s="1"/>
  <c r="BM23" i="5"/>
  <c r="O16" i="12" s="1"/>
  <c r="BX23" i="5"/>
  <c r="V11" i="5"/>
  <c r="AN11" i="5"/>
  <c r="V12" i="5"/>
  <c r="AN12" i="5"/>
  <c r="AC15" i="5"/>
  <c r="AF15" i="5" s="1"/>
  <c r="AH15" i="5" s="1"/>
  <c r="AC14" i="5"/>
  <c r="AF14" i="5" s="1"/>
  <c r="AH14" i="5" s="1"/>
  <c r="AC17" i="5"/>
  <c r="AF17" i="5" s="1"/>
  <c r="AH17" i="5" s="1"/>
  <c r="AC19" i="5"/>
  <c r="AF19" i="5" s="1"/>
  <c r="AH19" i="5" s="1"/>
  <c r="E8" i="6"/>
  <c r="BD26" i="5" s="1"/>
  <c r="BF25" i="5"/>
  <c r="C9" i="6"/>
  <c r="AJ27" i="5" s="1"/>
  <c r="C10" i="6" s="1"/>
  <c r="AJ28" i="5" s="1"/>
  <c r="AC22" i="5"/>
  <c r="AF22" i="5" s="1"/>
  <c r="AH22" i="5" s="1"/>
  <c r="D8" i="5"/>
  <c r="G9" i="5"/>
  <c r="L9" i="5" s="1"/>
  <c r="J9" i="5"/>
  <c r="R24" i="5"/>
  <c r="Y24" i="5" s="1"/>
  <c r="AB25" i="5" s="1"/>
  <c r="AC23" i="5"/>
  <c r="AF23" i="5" s="1"/>
  <c r="AH23" i="5" s="1"/>
  <c r="AM10" i="5"/>
  <c r="AC24" i="5"/>
  <c r="Q24" i="5"/>
  <c r="X24" i="5" s="1"/>
  <c r="AA24" i="5" s="1"/>
  <c r="N25" i="5"/>
  <c r="AW23" i="5"/>
  <c r="BR23" i="5" s="1"/>
  <c r="BY23" i="5" s="1"/>
  <c r="AX23" i="5"/>
  <c r="BS23" i="5" s="1"/>
  <c r="BZ23" i="5" s="1"/>
  <c r="BA21" i="3"/>
  <c r="BE21" i="3" s="1"/>
  <c r="AC25" i="3"/>
  <c r="AO25" i="3" s="1"/>
  <c r="AS26" i="3" s="1"/>
  <c r="Y26" i="3"/>
  <c r="AV19" i="3"/>
  <c r="BC19" i="3" s="1"/>
  <c r="BG19" i="3" s="1"/>
  <c r="AV11" i="3"/>
  <c r="BC11" i="3" s="1"/>
  <c r="BG11" i="3" s="1"/>
  <c r="CZ10" i="3"/>
  <c r="CK10" i="3"/>
  <c r="M12" i="12"/>
  <c r="CZ19" i="3"/>
  <c r="K12" i="12" s="1"/>
  <c r="R12" i="12" s="1"/>
  <c r="AV16" i="3"/>
  <c r="BC16" i="3" s="1"/>
  <c r="BG16" i="3" s="1"/>
  <c r="AT10" i="3"/>
  <c r="BA10" i="3" s="1"/>
  <c r="BE10" i="3" s="1"/>
  <c r="BS19" i="3"/>
  <c r="BS10" i="3"/>
  <c r="AU9" i="3"/>
  <c r="BB9" i="3" s="1"/>
  <c r="BF9" i="3" s="1"/>
  <c r="AV17" i="3"/>
  <c r="BC17" i="3" s="1"/>
  <c r="BG17" i="3" s="1"/>
  <c r="AV23" i="3"/>
  <c r="AV18" i="3"/>
  <c r="BC18" i="3" s="1"/>
  <c r="BG18" i="3" s="1"/>
  <c r="AU11" i="3"/>
  <c r="BB11" i="3" s="1"/>
  <c r="BF11" i="3" s="1"/>
  <c r="AT13" i="3"/>
  <c r="BA13" i="3" s="1"/>
  <c r="BE13" i="3" s="1"/>
  <c r="AV21" i="3"/>
  <c r="BC21" i="3" s="1"/>
  <c r="BG21" i="3" s="1"/>
  <c r="AV15" i="3"/>
  <c r="BC15" i="3" s="1"/>
  <c r="BG15" i="3" s="1"/>
  <c r="AU16" i="3"/>
  <c r="BB16" i="3" s="1"/>
  <c r="BF16" i="3" s="1"/>
  <c r="AT16" i="3"/>
  <c r="BA16" i="3" s="1"/>
  <c r="BE16" i="3" s="1"/>
  <c r="CN9" i="3"/>
  <c r="BS9" i="3"/>
  <c r="CZ21" i="3"/>
  <c r="K14" i="12" s="1"/>
  <c r="L14" i="12"/>
  <c r="CK21" i="3"/>
  <c r="AT7" i="3"/>
  <c r="BA7" i="3" s="1"/>
  <c r="BE7" i="3" s="1"/>
  <c r="C8" i="4"/>
  <c r="BI26" i="3" s="1"/>
  <c r="C9" i="4" s="1"/>
  <c r="BI27" i="3" s="1"/>
  <c r="AU18" i="3"/>
  <c r="BB18" i="3" s="1"/>
  <c r="BF18" i="3" s="1"/>
  <c r="CN11" i="3"/>
  <c r="BS11" i="3"/>
  <c r="CM15" i="3"/>
  <c r="BS15" i="3"/>
  <c r="CN12" i="3"/>
  <c r="BS12" i="3"/>
  <c r="AU10" i="3"/>
  <c r="BB10" i="3" s="1"/>
  <c r="BF10" i="3" s="1"/>
  <c r="AU22" i="3"/>
  <c r="BB22" i="3" s="1"/>
  <c r="BF22" i="3" s="1"/>
  <c r="AT14" i="3"/>
  <c r="BA14" i="3" s="1"/>
  <c r="BE14" i="3" s="1"/>
  <c r="CN17" i="3"/>
  <c r="BS17" i="3"/>
  <c r="AU12" i="3"/>
  <c r="BB12" i="3" s="1"/>
  <c r="BF12" i="3" s="1"/>
  <c r="AU13" i="3"/>
  <c r="BB13" i="3" s="1"/>
  <c r="BF13" i="3" s="1"/>
  <c r="AA25" i="3"/>
  <c r="AN25" i="3" s="1"/>
  <c r="AR25" i="3" s="1"/>
  <c r="W26" i="3"/>
  <c r="CN23" i="3"/>
  <c r="BS23" i="3"/>
  <c r="CW25" i="3"/>
  <c r="H8" i="4"/>
  <c r="CJ26" i="3" s="1"/>
  <c r="CX25" i="3"/>
  <c r="AB24" i="3"/>
  <c r="AM24" i="3" s="1"/>
  <c r="AQ24" i="3" s="1"/>
  <c r="BA24" i="3" s="1"/>
  <c r="BM24" i="3" s="1"/>
  <c r="X25" i="3"/>
  <c r="CN18" i="3"/>
  <c r="BS18" i="3"/>
  <c r="AU17" i="3"/>
  <c r="BB17" i="3" s="1"/>
  <c r="BF17" i="3" s="1"/>
  <c r="AU15" i="3"/>
  <c r="BB15" i="3" s="1"/>
  <c r="BF15" i="3" s="1"/>
  <c r="CM14" i="3"/>
  <c r="BS14" i="3"/>
  <c r="AV12" i="3"/>
  <c r="BC12" i="3" s="1"/>
  <c r="BG12" i="3" s="1"/>
  <c r="D10" i="4"/>
  <c r="BJ28" i="3" s="1"/>
  <c r="BS21" i="3"/>
  <c r="AV10" i="3"/>
  <c r="BC10" i="3" s="1"/>
  <c r="BG10" i="3" s="1"/>
  <c r="AU24" i="3"/>
  <c r="BB24" i="3" s="1"/>
  <c r="BN24" i="3" s="1"/>
  <c r="CM22" i="3"/>
  <c r="BS22" i="3"/>
  <c r="CN20" i="3"/>
  <c r="BS20" i="3"/>
  <c r="AK24" i="3"/>
  <c r="BR24" i="3"/>
  <c r="BS13" i="3"/>
  <c r="CM13" i="3"/>
  <c r="AU19" i="3"/>
  <c r="BB19" i="3" s="1"/>
  <c r="BF19" i="3" s="1"/>
  <c r="CN16" i="3"/>
  <c r="BS16" i="3"/>
  <c r="AY23" i="3"/>
  <c r="AT15" i="3"/>
  <c r="BA15" i="3" s="1"/>
  <c r="BE15" i="3" s="1"/>
  <c r="AT23" i="3"/>
  <c r="BA23" i="3" s="1"/>
  <c r="BE23" i="3" s="1"/>
  <c r="AU21" i="3"/>
  <c r="BB21" i="3" s="1"/>
  <c r="BF21" i="3" s="1"/>
  <c r="AU14" i="3"/>
  <c r="BB14" i="3" s="1"/>
  <c r="BF14" i="3" s="1"/>
  <c r="AZ16" i="1"/>
  <c r="BD16" i="1" s="1"/>
  <c r="AD12" i="1"/>
  <c r="AQ13" i="1" s="1"/>
  <c r="AX13" i="1" s="1"/>
  <c r="BB13" i="1" s="1"/>
  <c r="BQ10" i="1"/>
  <c r="AD13" i="1"/>
  <c r="AQ14" i="1" s="1"/>
  <c r="AX21" i="1"/>
  <c r="BB21" i="1" s="1"/>
  <c r="AJ14" i="1"/>
  <c r="AO14" i="1" s="1"/>
  <c r="AJ23" i="1"/>
  <c r="AO23" i="1" s="1"/>
  <c r="AX23" i="1" s="1"/>
  <c r="BB23" i="1" s="1"/>
  <c r="AJ22" i="1"/>
  <c r="AO22" i="1" s="1"/>
  <c r="AX22" i="1" s="1"/>
  <c r="BB22" i="1" s="1"/>
  <c r="CK24" i="1"/>
  <c r="BZ24" i="1"/>
  <c r="CR24" i="1" s="1"/>
  <c r="DA24" i="1" s="1"/>
  <c r="CA24" i="1"/>
  <c r="CS24" i="1" s="1"/>
  <c r="DB24" i="1" s="1"/>
  <c r="O25" i="1"/>
  <c r="O26" i="1" s="1"/>
  <c r="CU27" i="1"/>
  <c r="CZ16" i="1"/>
  <c r="J8" i="12" s="1"/>
  <c r="CI16" i="1"/>
  <c r="CK12" i="1"/>
  <c r="BQ12" i="1"/>
  <c r="AZ18" i="1"/>
  <c r="BD18" i="1" s="1"/>
  <c r="I9" i="2"/>
  <c r="CH28" i="1" s="1"/>
  <c r="CU28" i="1" s="1"/>
  <c r="AV22" i="1"/>
  <c r="AZ20" i="1"/>
  <c r="BD20" i="1" s="1"/>
  <c r="CM23" i="1"/>
  <c r="BQ23" i="1"/>
  <c r="AR11" i="1"/>
  <c r="AY11" i="1" s="1"/>
  <c r="BC11" i="1" s="1"/>
  <c r="AR15" i="1"/>
  <c r="AY15" i="1" s="1"/>
  <c r="BC15" i="1" s="1"/>
  <c r="AR18" i="1"/>
  <c r="AY18" i="1" s="1"/>
  <c r="BC18" i="1" s="1"/>
  <c r="CL19" i="1"/>
  <c r="BQ19" i="1"/>
  <c r="P25" i="1"/>
  <c r="D7" i="2"/>
  <c r="BG26" i="1" s="1"/>
  <c r="CL22" i="1"/>
  <c r="BQ22" i="1"/>
  <c r="AQ11" i="1"/>
  <c r="AX11" i="1" s="1"/>
  <c r="BB11" i="1" s="1"/>
  <c r="CL17" i="1"/>
  <c r="BQ17" i="1"/>
  <c r="AR20" i="1"/>
  <c r="AY20" i="1" s="1"/>
  <c r="BC20" i="1" s="1"/>
  <c r="AQ16" i="1"/>
  <c r="AX16" i="1" s="1"/>
  <c r="BB16" i="1" s="1"/>
  <c r="AR23" i="1"/>
  <c r="AY23" i="1" s="1"/>
  <c r="BC23" i="1" s="1"/>
  <c r="CL13" i="1"/>
  <c r="BQ13" i="1"/>
  <c r="AV21" i="1"/>
  <c r="AZ19" i="1"/>
  <c r="BD19" i="1" s="1"/>
  <c r="CI10" i="1"/>
  <c r="CZ10" i="1"/>
  <c r="CK15" i="1"/>
  <c r="BQ15" i="1"/>
  <c r="CW29" i="1"/>
  <c r="AZ17" i="1"/>
  <c r="BD17" i="1" s="1"/>
  <c r="AQ20" i="1"/>
  <c r="AX20" i="1" s="1"/>
  <c r="BB20" i="1" s="1"/>
  <c r="AR14" i="1"/>
  <c r="AY14" i="1" s="1"/>
  <c r="BC14" i="1" s="1"/>
  <c r="AR12" i="1"/>
  <c r="AY12" i="1" s="1"/>
  <c r="BC12" i="1" s="1"/>
  <c r="AQ18" i="1"/>
  <c r="AX18" i="1" s="1"/>
  <c r="BB18" i="1" s="1"/>
  <c r="AZ15" i="1"/>
  <c r="BD15" i="1" s="1"/>
  <c r="CL18" i="1"/>
  <c r="BQ18" i="1"/>
  <c r="F8" i="2"/>
  <c r="BI27" i="1" s="1"/>
  <c r="CX29" i="1"/>
  <c r="CK8" i="1"/>
  <c r="BQ8" i="1"/>
  <c r="CZ6" i="1"/>
  <c r="AR25" i="1"/>
  <c r="AY25" i="1" s="1"/>
  <c r="BL25" i="1" s="1"/>
  <c r="CK9" i="1"/>
  <c r="BQ9" i="1"/>
  <c r="AQ12" i="1"/>
  <c r="AX12" i="1" s="1"/>
  <c r="BB12" i="1" s="1"/>
  <c r="AR19" i="1"/>
  <c r="AY19" i="1" s="1"/>
  <c r="BC19" i="1" s="1"/>
  <c r="X25" i="1"/>
  <c r="AK25" i="1" s="1"/>
  <c r="AP25" i="1" s="1"/>
  <c r="R26" i="1"/>
  <c r="C10" i="2"/>
  <c r="BF29" i="1" s="1"/>
  <c r="AQ9" i="1"/>
  <c r="AX9" i="1" s="1"/>
  <c r="BB9" i="1" s="1"/>
  <c r="E6" i="2"/>
  <c r="BH25" i="1" s="1"/>
  <c r="E7" i="2" s="1"/>
  <c r="BH26" i="1" s="1"/>
  <c r="AQ10" i="1"/>
  <c r="AX10" i="1" s="1"/>
  <c r="BB10" i="1" s="1"/>
  <c r="BQ11" i="1"/>
  <c r="CK11" i="1"/>
  <c r="H8" i="2"/>
  <c r="CG27" i="1" s="1"/>
  <c r="AS11" i="1"/>
  <c r="AZ11" i="1" s="1"/>
  <c r="BD11" i="1" s="1"/>
  <c r="AR9" i="1"/>
  <c r="AY9" i="1" s="1"/>
  <c r="BC9" i="1" s="1"/>
  <c r="AQ15" i="1"/>
  <c r="AX15" i="1" s="1"/>
  <c r="BB15" i="1" s="1"/>
  <c r="AS9" i="1"/>
  <c r="AZ9" i="1" s="1"/>
  <c r="BD9" i="1" s="1"/>
  <c r="CL24" i="1"/>
  <c r="BQ24" i="1"/>
  <c r="AR10" i="1"/>
  <c r="AY10" i="1" s="1"/>
  <c r="BC10" i="1" s="1"/>
  <c r="CF27" i="1"/>
  <c r="AS10" i="1"/>
  <c r="AZ10" i="1" s="1"/>
  <c r="BD10" i="1" s="1"/>
  <c r="CK14" i="1"/>
  <c r="BQ14" i="1"/>
  <c r="CZ21" i="1" l="1"/>
  <c r="J13" i="12" s="1"/>
  <c r="CI21" i="1"/>
  <c r="DE21" i="1" s="1"/>
  <c r="DF21" i="1"/>
  <c r="U25" i="1"/>
  <c r="AH25" i="1" s="1"/>
  <c r="AM25" i="1" s="1"/>
  <c r="E9" i="6"/>
  <c r="BD27" i="5" s="1"/>
  <c r="BF26" i="5"/>
  <c r="AC13" i="5"/>
  <c r="AF13" i="5" s="1"/>
  <c r="AH13" i="5" s="1"/>
  <c r="AC12" i="5"/>
  <c r="AF12" i="5" s="1"/>
  <c r="AH12" i="5" s="1"/>
  <c r="N26" i="5"/>
  <c r="Q25" i="5"/>
  <c r="X25" i="5" s="1"/>
  <c r="AA25" i="5" s="1"/>
  <c r="AF24" i="5"/>
  <c r="AM24" i="5" s="1"/>
  <c r="AM9" i="5"/>
  <c r="V10" i="5"/>
  <c r="AN10" i="5"/>
  <c r="R25" i="5"/>
  <c r="Y25" i="5" s="1"/>
  <c r="AB26" i="5" s="1"/>
  <c r="O26" i="5"/>
  <c r="D7" i="5"/>
  <c r="G8" i="5"/>
  <c r="L8" i="5" s="1"/>
  <c r="J8" i="5"/>
  <c r="Y27" i="3"/>
  <c r="AC26" i="3"/>
  <c r="AO26" i="3" s="1"/>
  <c r="AS27" i="3" s="1"/>
  <c r="U12" i="12"/>
  <c r="S12" i="12"/>
  <c r="C10" i="4"/>
  <c r="BI28" i="3" s="1"/>
  <c r="CK13" i="3"/>
  <c r="L6" i="12"/>
  <c r="CZ13" i="3"/>
  <c r="K6" i="12" s="1"/>
  <c r="X26" i="3"/>
  <c r="AB25" i="3"/>
  <c r="AM25" i="3" s="1"/>
  <c r="AQ25" i="3" s="1"/>
  <c r="H9" i="4"/>
  <c r="CJ27" i="3" s="1"/>
  <c r="CW26" i="3"/>
  <c r="CX26" i="3"/>
  <c r="AA26" i="3"/>
  <c r="AN26" i="3" s="1"/>
  <c r="AR26" i="3" s="1"/>
  <c r="W27" i="3"/>
  <c r="M9" i="12"/>
  <c r="CZ16" i="3"/>
  <c r="K9" i="12" s="1"/>
  <c r="DF16" i="3"/>
  <c r="CK16" i="3"/>
  <c r="DF14" i="3"/>
  <c r="CZ14" i="3"/>
  <c r="K7" i="12" s="1"/>
  <c r="CK14" i="3"/>
  <c r="DE14" i="3" s="1"/>
  <c r="L7" i="12"/>
  <c r="AI24" i="3"/>
  <c r="BZ24" i="3"/>
  <c r="CR24" i="3" s="1"/>
  <c r="BY24" i="3"/>
  <c r="CQ24" i="3" s="1"/>
  <c r="BP24" i="3"/>
  <c r="L8" i="12"/>
  <c r="CK15" i="3"/>
  <c r="CZ15" i="3"/>
  <c r="K8" i="12" s="1"/>
  <c r="R8" i="12" s="1"/>
  <c r="U8" i="12" s="1"/>
  <c r="DF15" i="3"/>
  <c r="N24" i="3"/>
  <c r="CO24" i="3"/>
  <c r="N17" i="12" s="1"/>
  <c r="AV25" i="3"/>
  <c r="L15" i="12"/>
  <c r="CK22" i="3"/>
  <c r="DE22" i="3" s="1"/>
  <c r="CZ22" i="3"/>
  <c r="K15" i="12" s="1"/>
  <c r="DF22" i="3"/>
  <c r="M13" i="12"/>
  <c r="CZ20" i="3"/>
  <c r="K13" i="12" s="1"/>
  <c r="R13" i="12" s="1"/>
  <c r="CK20" i="3"/>
  <c r="DE20" i="3" s="1"/>
  <c r="DF20" i="3"/>
  <c r="AY25" i="3"/>
  <c r="AY27" i="3" s="1"/>
  <c r="BC23" i="3"/>
  <c r="BG23" i="3" s="1"/>
  <c r="BQ24" i="3"/>
  <c r="AJ24" i="3"/>
  <c r="M11" i="12"/>
  <c r="CZ18" i="3"/>
  <c r="K11" i="12" s="1"/>
  <c r="DF18" i="3"/>
  <c r="CK18" i="3"/>
  <c r="DF19" i="3"/>
  <c r="M16" i="12"/>
  <c r="DF23" i="3"/>
  <c r="CK23" i="3"/>
  <c r="CZ23" i="3"/>
  <c r="K16" i="12" s="1"/>
  <c r="M10" i="12"/>
  <c r="CK17" i="3"/>
  <c r="DE17" i="3" s="1"/>
  <c r="CZ17" i="3"/>
  <c r="K10" i="12" s="1"/>
  <c r="DF17" i="3"/>
  <c r="CK12" i="3"/>
  <c r="CZ12" i="3"/>
  <c r="CK11" i="3"/>
  <c r="CZ11" i="3"/>
  <c r="DF21" i="3"/>
  <c r="CZ9" i="3"/>
  <c r="CK9" i="3"/>
  <c r="I10" i="2"/>
  <c r="CH29" i="1" s="1"/>
  <c r="AX14" i="1"/>
  <c r="BB14" i="1" s="1"/>
  <c r="CV28" i="1"/>
  <c r="CI12" i="1"/>
  <c r="CZ12" i="1"/>
  <c r="AV24" i="1"/>
  <c r="AZ22" i="1"/>
  <c r="BD22" i="1" s="1"/>
  <c r="H9" i="2"/>
  <c r="CG28" i="1" s="1"/>
  <c r="H10" i="2" s="1"/>
  <c r="CG29" i="1" s="1"/>
  <c r="CZ23" i="1"/>
  <c r="J15" i="12" s="1"/>
  <c r="CI23" i="1"/>
  <c r="DF17" i="1"/>
  <c r="CI17" i="1"/>
  <c r="DE17" i="1" s="1"/>
  <c r="CZ17" i="1"/>
  <c r="J9" i="12" s="1"/>
  <c r="D8" i="2"/>
  <c r="BG27" i="1" s="1"/>
  <c r="D9" i="2" s="1"/>
  <c r="BG28" i="1" s="1"/>
  <c r="D10" i="2" s="1"/>
  <c r="BG29" i="1" s="1"/>
  <c r="CI19" i="1"/>
  <c r="DE20" i="1" s="1"/>
  <c r="CZ19" i="1"/>
  <c r="J11" i="12" s="1"/>
  <c r="DF20" i="1"/>
  <c r="CI13" i="1"/>
  <c r="CZ13" i="1"/>
  <c r="CZ22" i="1"/>
  <c r="J14" i="12" s="1"/>
  <c r="R14" i="12" s="1"/>
  <c r="DF22" i="1"/>
  <c r="CI22" i="1"/>
  <c r="DF23" i="1"/>
  <c r="DF16" i="1"/>
  <c r="CZ15" i="1"/>
  <c r="J7" i="12" s="1"/>
  <c r="CI15" i="1"/>
  <c r="DE16" i="1" s="1"/>
  <c r="AV23" i="1"/>
  <c r="AZ21" i="1"/>
  <c r="BD21" i="1" s="1"/>
  <c r="V25" i="1"/>
  <c r="AI25" i="1" s="1"/>
  <c r="AN26" i="1" s="1"/>
  <c r="P26" i="1"/>
  <c r="E8" i="2"/>
  <c r="BH27" i="1" s="1"/>
  <c r="E9" i="2" s="1"/>
  <c r="BH28" i="1" s="1"/>
  <c r="E10" i="2" s="1"/>
  <c r="BH29" i="1" s="1"/>
  <c r="BO25" i="1"/>
  <c r="AE25" i="1"/>
  <c r="CI11" i="1"/>
  <c r="CZ11" i="1"/>
  <c r="Q25" i="1"/>
  <c r="CZ8" i="1"/>
  <c r="CI8" i="1"/>
  <c r="DF18" i="1"/>
  <c r="CI18" i="1"/>
  <c r="DF19" i="1"/>
  <c r="CZ18" i="1"/>
  <c r="J10" i="12" s="1"/>
  <c r="DF24" i="1"/>
  <c r="CI24" i="1"/>
  <c r="CZ24" i="1"/>
  <c r="J16" i="12" s="1"/>
  <c r="CI9" i="1"/>
  <c r="CZ9" i="1"/>
  <c r="CV29" i="1"/>
  <c r="CU29" i="1"/>
  <c r="U26" i="1"/>
  <c r="O27" i="1"/>
  <c r="F9" i="2"/>
  <c r="BI28" i="1" s="1"/>
  <c r="F10" i="2" s="1"/>
  <c r="BI29" i="1" s="1"/>
  <c r="CZ14" i="1"/>
  <c r="J6" i="12" s="1"/>
  <c r="CI14" i="1"/>
  <c r="DE15" i="1" s="1"/>
  <c r="DF15" i="1"/>
  <c r="X26" i="1"/>
  <c r="AK26" i="1" s="1"/>
  <c r="AP26" i="1" s="1"/>
  <c r="R27" i="1"/>
  <c r="CF28" i="1"/>
  <c r="CF29" i="1" s="1"/>
  <c r="AH26" i="1" l="1"/>
  <c r="AM26" i="1" s="1"/>
  <c r="R6" i="12"/>
  <c r="R15" i="12"/>
  <c r="S15" i="12" s="1"/>
  <c r="DE24" i="1"/>
  <c r="E10" i="6"/>
  <c r="BD28" i="5" s="1"/>
  <c r="BF28" i="5" s="1"/>
  <c r="BF27" i="5"/>
  <c r="D6" i="5"/>
  <c r="G7" i="5"/>
  <c r="L7" i="5" s="1"/>
  <c r="J7" i="5"/>
  <c r="R26" i="5"/>
  <c r="Y26" i="5" s="1"/>
  <c r="AB27" i="5" s="1"/>
  <c r="O27" i="5"/>
  <c r="V9" i="5"/>
  <c r="AN9" i="5"/>
  <c r="Q26" i="5"/>
  <c r="X26" i="5" s="1"/>
  <c r="AA26" i="5" s="1"/>
  <c r="N27" i="5"/>
  <c r="AM8" i="5"/>
  <c r="V24" i="5"/>
  <c r="AT24" i="5"/>
  <c r="AN24" i="5"/>
  <c r="AU24" i="5"/>
  <c r="AC11" i="5"/>
  <c r="AF11" i="5" s="1"/>
  <c r="AH11" i="5" s="1"/>
  <c r="R10" i="12"/>
  <c r="U10" i="12" s="1"/>
  <c r="R7" i="12"/>
  <c r="U7" i="12" s="1"/>
  <c r="R9" i="12"/>
  <c r="S9" i="12" s="1"/>
  <c r="R11" i="12"/>
  <c r="S11" i="12" s="1"/>
  <c r="AC27" i="3"/>
  <c r="AO27" i="3" s="1"/>
  <c r="AS28" i="3" s="1"/>
  <c r="Y28" i="3"/>
  <c r="AC28" i="3" s="1"/>
  <c r="BC25" i="3"/>
  <c r="BO25" i="3" s="1"/>
  <c r="BR25" i="3" s="1"/>
  <c r="DE16" i="3"/>
  <c r="X12" i="12"/>
  <c r="V12" i="12"/>
  <c r="CX27" i="3"/>
  <c r="CW27" i="3"/>
  <c r="H10" i="4"/>
  <c r="CJ28" i="3" s="1"/>
  <c r="R16" i="12"/>
  <c r="U16" i="12" s="1"/>
  <c r="S8" i="12"/>
  <c r="DE23" i="3"/>
  <c r="DE18" i="3"/>
  <c r="DE19" i="3"/>
  <c r="S13" i="12"/>
  <c r="U13" i="12"/>
  <c r="DE15" i="3"/>
  <c r="CN24" i="3"/>
  <c r="M17" i="12" s="1"/>
  <c r="L24" i="3"/>
  <c r="BS24" i="3"/>
  <c r="J24" i="3"/>
  <c r="CC24" i="3"/>
  <c r="CU24" i="3" s="1"/>
  <c r="DB24" i="3" s="1"/>
  <c r="CM24" i="3"/>
  <c r="CB24" i="3"/>
  <c r="CT24" i="3" s="1"/>
  <c r="DA24" i="3" s="1"/>
  <c r="AT25" i="3"/>
  <c r="BA25" i="3" s="1"/>
  <c r="BM25" i="3" s="1"/>
  <c r="X27" i="3"/>
  <c r="AB26" i="3"/>
  <c r="AM26" i="3" s="1"/>
  <c r="AQ26" i="3" s="1"/>
  <c r="AU25" i="3"/>
  <c r="BB25" i="3" s="1"/>
  <c r="BN25" i="3" s="1"/>
  <c r="DE21" i="3"/>
  <c r="W28" i="3"/>
  <c r="AA28" i="3" s="1"/>
  <c r="AA27" i="3"/>
  <c r="AN27" i="3" s="1"/>
  <c r="AR27" i="3" s="1"/>
  <c r="X8" i="12"/>
  <c r="V8" i="12"/>
  <c r="AV26" i="1"/>
  <c r="AV28" i="1" s="1"/>
  <c r="AZ24" i="1"/>
  <c r="BD24" i="1" s="1"/>
  <c r="V26" i="1"/>
  <c r="AI26" i="1" s="1"/>
  <c r="AN27" i="1" s="1"/>
  <c r="P27" i="1"/>
  <c r="U11" i="12"/>
  <c r="DE22" i="1"/>
  <c r="DE23" i="1"/>
  <c r="AV25" i="1"/>
  <c r="AZ23" i="1"/>
  <c r="BD23" i="1" s="1"/>
  <c r="S14" i="12"/>
  <c r="U14" i="12"/>
  <c r="U9" i="12"/>
  <c r="DE18" i="1"/>
  <c r="DE19" i="1"/>
  <c r="C25" i="1"/>
  <c r="CL25" i="1"/>
  <c r="X27" i="1"/>
  <c r="AK27" i="1" s="1"/>
  <c r="AP27" i="1" s="1"/>
  <c r="R28" i="1"/>
  <c r="U6" i="12"/>
  <c r="S6" i="12"/>
  <c r="S10" i="12"/>
  <c r="W25" i="1"/>
  <c r="AJ25" i="1" s="1"/>
  <c r="AO25" i="1" s="1"/>
  <c r="AX25" i="1" s="1"/>
  <c r="BK25" i="1" s="1"/>
  <c r="Q26" i="1"/>
  <c r="AR26" i="1"/>
  <c r="AY26" i="1" s="1"/>
  <c r="BL26" i="1" s="1"/>
  <c r="U27" i="1"/>
  <c r="AH27" i="1" s="1"/>
  <c r="AM27" i="1" s="1"/>
  <c r="O28" i="1"/>
  <c r="AO28" i="3" l="1"/>
  <c r="U15" i="12"/>
  <c r="X15" i="12" s="1"/>
  <c r="O28" i="5"/>
  <c r="R28" i="5" s="1"/>
  <c r="R27" i="5"/>
  <c r="Y27" i="5" s="1"/>
  <c r="AB28" i="5" s="1"/>
  <c r="G6" i="5"/>
  <c r="L6" i="5" s="1"/>
  <c r="AM6" i="5" s="1"/>
  <c r="J6" i="5"/>
  <c r="D5" i="5"/>
  <c r="V8" i="5"/>
  <c r="AN8" i="5"/>
  <c r="AC25" i="5"/>
  <c r="AF25" i="5" s="1"/>
  <c r="AM25" i="5" s="1"/>
  <c r="N28" i="5"/>
  <c r="Q28" i="5" s="1"/>
  <c r="Q27" i="5"/>
  <c r="X27" i="5" s="1"/>
  <c r="AA27" i="5" s="1"/>
  <c r="AC10" i="5"/>
  <c r="AF10" i="5" s="1"/>
  <c r="AH10" i="5" s="1"/>
  <c r="AM7" i="5"/>
  <c r="AW24" i="5"/>
  <c r="AX24" i="5"/>
  <c r="G24" i="5"/>
  <c r="BJ24" i="5" s="1"/>
  <c r="S7" i="12"/>
  <c r="S16" i="12"/>
  <c r="AK25" i="3"/>
  <c r="AN28" i="3"/>
  <c r="AR28" i="3" s="1"/>
  <c r="AB12" i="12"/>
  <c r="Z12" i="12"/>
  <c r="BP25" i="3"/>
  <c r="AI25" i="3"/>
  <c r="BY25" i="3"/>
  <c r="CQ25" i="3" s="1"/>
  <c r="BZ25" i="3"/>
  <c r="CR25" i="3" s="1"/>
  <c r="AB27" i="3"/>
  <c r="AM27" i="3" s="1"/>
  <c r="AQ27" i="3" s="1"/>
  <c r="X28" i="3"/>
  <c r="AB28" i="3" s="1"/>
  <c r="X13" i="12"/>
  <c r="V13" i="12"/>
  <c r="L17" i="12"/>
  <c r="CZ24" i="3"/>
  <c r="K17" i="12" s="1"/>
  <c r="DF24" i="3"/>
  <c r="CX28" i="3"/>
  <c r="CW28" i="3"/>
  <c r="BQ25" i="3"/>
  <c r="AJ25" i="3"/>
  <c r="DD24" i="3"/>
  <c r="CK24" i="3"/>
  <c r="DE24" i="3" s="1"/>
  <c r="N25" i="3"/>
  <c r="CO25" i="3"/>
  <c r="N18" i="12" s="1"/>
  <c r="AB8" i="12"/>
  <c r="Z8" i="12"/>
  <c r="V15" i="12"/>
  <c r="V27" i="1"/>
  <c r="AI27" i="1" s="1"/>
  <c r="AN28" i="1" s="1"/>
  <c r="P28" i="1"/>
  <c r="X9" i="12"/>
  <c r="V9" i="12"/>
  <c r="V7" i="12"/>
  <c r="X7" i="12"/>
  <c r="X14" i="12"/>
  <c r="V14" i="12"/>
  <c r="AV27" i="1"/>
  <c r="AV29" i="1" s="1"/>
  <c r="AZ25" i="1"/>
  <c r="BM25" i="1" s="1"/>
  <c r="V11" i="12"/>
  <c r="X11" i="12"/>
  <c r="AE26" i="1"/>
  <c r="BO26" i="1"/>
  <c r="V6" i="12"/>
  <c r="X6" i="12"/>
  <c r="O29" i="1"/>
  <c r="U29" i="1" s="1"/>
  <c r="U28" i="1"/>
  <c r="AH28" i="1" s="1"/>
  <c r="AM28" i="1" s="1"/>
  <c r="X10" i="12"/>
  <c r="V10" i="12"/>
  <c r="R29" i="1"/>
  <c r="X29" i="1" s="1"/>
  <c r="X28" i="1"/>
  <c r="AK28" i="1" s="1"/>
  <c r="AP28" i="1" s="1"/>
  <c r="W26" i="1"/>
  <c r="AJ26" i="1" s="1"/>
  <c r="AO26" i="1" s="1"/>
  <c r="Q27" i="1"/>
  <c r="BN25" i="1"/>
  <c r="AD25" i="1"/>
  <c r="BW25" i="1"/>
  <c r="CO25" i="1" s="1"/>
  <c r="BX25" i="1"/>
  <c r="CP25" i="1" s="1"/>
  <c r="V16" i="12"/>
  <c r="X16" i="12"/>
  <c r="C7" i="15" l="1"/>
  <c r="S18" i="12" s="1"/>
  <c r="C10" i="15"/>
  <c r="C6" i="15"/>
  <c r="S17" i="12" s="1"/>
  <c r="C8" i="15"/>
  <c r="C9" i="15"/>
  <c r="S20" i="12" s="1"/>
  <c r="AC9" i="5"/>
  <c r="AF9" i="5" s="1"/>
  <c r="AH9" i="5" s="1"/>
  <c r="V25" i="5"/>
  <c r="AT25" i="5"/>
  <c r="AN25" i="5"/>
  <c r="AU25" i="5"/>
  <c r="Y28" i="5"/>
  <c r="S19" i="12"/>
  <c r="X28" i="5"/>
  <c r="AA28" i="5" s="1"/>
  <c r="V6" i="5"/>
  <c r="AN6" i="5"/>
  <c r="G5" i="5"/>
  <c r="L5" i="5" s="1"/>
  <c r="AM5" i="5" s="1"/>
  <c r="J5" i="5"/>
  <c r="BX24" i="5"/>
  <c r="BM24" i="5"/>
  <c r="O17" i="12" s="1"/>
  <c r="V7" i="5"/>
  <c r="AN7" i="5"/>
  <c r="S21" i="12"/>
  <c r="AM28" i="3"/>
  <c r="AQ28" i="3" s="1"/>
  <c r="AV26" i="3"/>
  <c r="BC26" i="3" s="1"/>
  <c r="BO26" i="3" s="1"/>
  <c r="BR26" i="3" s="1"/>
  <c r="AU26" i="3"/>
  <c r="BB26" i="3" s="1"/>
  <c r="BN26" i="3" s="1"/>
  <c r="L25" i="3"/>
  <c r="CN25" i="3"/>
  <c r="M18" i="12" s="1"/>
  <c r="AB13" i="12"/>
  <c r="Z13" i="12"/>
  <c r="AT26" i="3"/>
  <c r="BA26" i="3" s="1"/>
  <c r="BM26" i="3" s="1"/>
  <c r="BS25" i="3"/>
  <c r="CC25" i="3"/>
  <c r="CU25" i="3" s="1"/>
  <c r="DB25" i="3" s="1"/>
  <c r="J25" i="3"/>
  <c r="CM25" i="3"/>
  <c r="CB25" i="3"/>
  <c r="CT25" i="3" s="1"/>
  <c r="DA25" i="3" s="1"/>
  <c r="AB15" i="12"/>
  <c r="Z15" i="12"/>
  <c r="AF25" i="1"/>
  <c r="BP25" i="1"/>
  <c r="Z7" i="12"/>
  <c r="AB7" i="12"/>
  <c r="V28" i="1"/>
  <c r="AI28" i="1" s="1"/>
  <c r="AN29" i="1" s="1"/>
  <c r="P29" i="1"/>
  <c r="V29" i="1" s="1"/>
  <c r="Z11" i="12"/>
  <c r="AB11" i="12"/>
  <c r="AB14" i="12"/>
  <c r="Z14" i="12"/>
  <c r="Z9" i="12"/>
  <c r="AB9" i="12"/>
  <c r="AQ26" i="1"/>
  <c r="AX26" i="1" s="1"/>
  <c r="BK26" i="1" s="1"/>
  <c r="W27" i="1"/>
  <c r="AJ27" i="1" s="1"/>
  <c r="AO27" i="1" s="1"/>
  <c r="Q28" i="1"/>
  <c r="AR27" i="1"/>
  <c r="AY27" i="1" s="1"/>
  <c r="BL27" i="1" s="1"/>
  <c r="B25" i="1"/>
  <c r="BQ25" i="1"/>
  <c r="CA25" i="1"/>
  <c r="CS25" i="1" s="1"/>
  <c r="DB25" i="1" s="1"/>
  <c r="BZ25" i="1"/>
  <c r="CR25" i="1" s="1"/>
  <c r="DA25" i="1" s="1"/>
  <c r="CK25" i="1"/>
  <c r="AK29" i="1"/>
  <c r="AP29" i="1" s="1"/>
  <c r="AH29" i="1"/>
  <c r="AM29" i="1" s="1"/>
  <c r="C26" i="1"/>
  <c r="CL26" i="1"/>
  <c r="Z10" i="12"/>
  <c r="AB10" i="12"/>
  <c r="Z6" i="12"/>
  <c r="AB6" i="12"/>
  <c r="AB16" i="12"/>
  <c r="Z16" i="12"/>
  <c r="D7" i="15"/>
  <c r="V18" i="12" s="1"/>
  <c r="D8" i="15"/>
  <c r="V19" i="12" s="1"/>
  <c r="D6" i="15"/>
  <c r="V17" i="12" s="1"/>
  <c r="D10" i="15"/>
  <c r="V21" i="12" s="1"/>
  <c r="D9" i="15"/>
  <c r="V20" i="12" s="1"/>
  <c r="AC8" i="5" l="1"/>
  <c r="AF8" i="5" s="1"/>
  <c r="AH8" i="5" s="1"/>
  <c r="AW25" i="5"/>
  <c r="G25" i="5"/>
  <c r="BJ25" i="5" s="1"/>
  <c r="AX25" i="5"/>
  <c r="AC7" i="5"/>
  <c r="AF7" i="5" s="1"/>
  <c r="AH7" i="5" s="1"/>
  <c r="AN5" i="5"/>
  <c r="V5" i="5"/>
  <c r="AC26" i="5"/>
  <c r="AF26" i="5" s="1"/>
  <c r="AM26" i="5" s="1"/>
  <c r="AK26" i="3"/>
  <c r="CK25" i="3"/>
  <c r="DE25" i="3" s="1"/>
  <c r="DD25" i="3"/>
  <c r="AI26" i="3"/>
  <c r="BY26" i="3"/>
  <c r="CQ26" i="3" s="1"/>
  <c r="BZ26" i="3"/>
  <c r="CR26" i="3" s="1"/>
  <c r="BP26" i="3"/>
  <c r="DF25" i="3"/>
  <c r="L18" i="12"/>
  <c r="CZ25" i="3"/>
  <c r="K18" i="12" s="1"/>
  <c r="BQ26" i="3"/>
  <c r="AJ26" i="3"/>
  <c r="N26" i="3"/>
  <c r="CO26" i="3"/>
  <c r="N19" i="12" s="1"/>
  <c r="AI29" i="1"/>
  <c r="E6" i="15"/>
  <c r="Z17" i="12" s="1"/>
  <c r="AS26" i="1"/>
  <c r="AZ26" i="1" s="1"/>
  <c r="BM26" i="1" s="1"/>
  <c r="F7" i="15"/>
  <c r="D25" i="1"/>
  <c r="DD25" i="1" s="1"/>
  <c r="CM25" i="1"/>
  <c r="BW26" i="1"/>
  <c r="CO26" i="1" s="1"/>
  <c r="BX26" i="1"/>
  <c r="CP26" i="1" s="1"/>
  <c r="BN26" i="1"/>
  <c r="AD26" i="1"/>
  <c r="BO27" i="1"/>
  <c r="AE27" i="1"/>
  <c r="W28" i="1"/>
  <c r="AJ28" i="1" s="1"/>
  <c r="AO28" i="1" s="1"/>
  <c r="Q29" i="1"/>
  <c r="W29" i="1" s="1"/>
  <c r="BM25" i="5" l="1"/>
  <c r="O18" i="12" s="1"/>
  <c r="BX25" i="5"/>
  <c r="V26" i="5"/>
  <c r="AU26" i="5"/>
  <c r="AT26" i="5"/>
  <c r="AN26" i="5"/>
  <c r="AB17" i="12"/>
  <c r="AV27" i="3"/>
  <c r="BC27" i="3" s="1"/>
  <c r="BO27" i="3" s="1"/>
  <c r="AK27" i="3" s="1"/>
  <c r="CN26" i="3"/>
  <c r="M19" i="12" s="1"/>
  <c r="L26" i="3"/>
  <c r="BS26" i="3"/>
  <c r="CB26" i="3"/>
  <c r="CT26" i="3" s="1"/>
  <c r="DA26" i="3" s="1"/>
  <c r="J26" i="3"/>
  <c r="CC26" i="3"/>
  <c r="CU26" i="3" s="1"/>
  <c r="CM26" i="3"/>
  <c r="AT27" i="3"/>
  <c r="BA27" i="3" s="1"/>
  <c r="BM27" i="3" s="1"/>
  <c r="AU27" i="3"/>
  <c r="BB27" i="3" s="1"/>
  <c r="BN27" i="3" s="1"/>
  <c r="DB26" i="3"/>
  <c r="CI25" i="1"/>
  <c r="DE25" i="1" s="1"/>
  <c r="E7" i="15"/>
  <c r="E8" i="15" s="1"/>
  <c r="CZ25" i="1"/>
  <c r="J17" i="12" s="1"/>
  <c r="R17" i="12" s="1"/>
  <c r="E17" i="12" s="1"/>
  <c r="U17" i="12" s="1"/>
  <c r="X17" i="12" s="1"/>
  <c r="DF25" i="1"/>
  <c r="AJ29" i="1"/>
  <c r="AO29" i="1" s="1"/>
  <c r="AF26" i="1"/>
  <c r="BP26" i="1"/>
  <c r="AR28" i="1"/>
  <c r="AY28" i="1" s="1"/>
  <c r="BL28" i="1" s="1"/>
  <c r="B26" i="1"/>
  <c r="CA26" i="1"/>
  <c r="CS26" i="1" s="1"/>
  <c r="DB26" i="1" s="1"/>
  <c r="BZ26" i="1"/>
  <c r="CR26" i="1" s="1"/>
  <c r="DA26" i="1" s="1"/>
  <c r="CK26" i="1"/>
  <c r="C27" i="1"/>
  <c r="CL27" i="1"/>
  <c r="AB18" i="12"/>
  <c r="F8" i="15"/>
  <c r="AQ27" i="1"/>
  <c r="AX27" i="1" s="1"/>
  <c r="BK27" i="1" s="1"/>
  <c r="AW26" i="5" l="1"/>
  <c r="AX26" i="5"/>
  <c r="G26" i="5"/>
  <c r="BJ26" i="5" s="1"/>
  <c r="AC27" i="5"/>
  <c r="AF27" i="5" s="1"/>
  <c r="AM27" i="5" s="1"/>
  <c r="Z18" i="12"/>
  <c r="BR27" i="3"/>
  <c r="N27" i="3" s="1"/>
  <c r="BQ27" i="3"/>
  <c r="AJ27" i="3"/>
  <c r="L19" i="12"/>
  <c r="CZ26" i="3"/>
  <c r="K19" i="12" s="1"/>
  <c r="DF26" i="3"/>
  <c r="BY27" i="3"/>
  <c r="CQ27" i="3" s="1"/>
  <c r="BZ27" i="3"/>
  <c r="CR27" i="3" s="1"/>
  <c r="BP27" i="3"/>
  <c r="AI27" i="3"/>
  <c r="T17" i="12"/>
  <c r="CK26" i="3"/>
  <c r="DE26" i="3" s="1"/>
  <c r="DD26" i="3"/>
  <c r="AV28" i="3"/>
  <c r="BC28" i="3" s="1"/>
  <c r="BO28" i="3" s="1"/>
  <c r="D26" i="1"/>
  <c r="DD26" i="1" s="1"/>
  <c r="CM26" i="1"/>
  <c r="CZ26" i="1" s="1"/>
  <c r="J18" i="12" s="1"/>
  <c r="R18" i="12" s="1"/>
  <c r="E18" i="12" s="1"/>
  <c r="U18" i="12" s="1"/>
  <c r="AS27" i="1"/>
  <c r="AZ27" i="1" s="1"/>
  <c r="BM27" i="1" s="1"/>
  <c r="BQ26" i="1"/>
  <c r="Y17" i="12"/>
  <c r="AA17" i="12"/>
  <c r="AB19" i="12"/>
  <c r="F9" i="15"/>
  <c r="E9" i="15"/>
  <c r="Z19" i="12"/>
  <c r="AD27" i="1"/>
  <c r="BN27" i="1"/>
  <c r="BX27" i="1"/>
  <c r="CP27" i="1" s="1"/>
  <c r="BW27" i="1"/>
  <c r="CO27" i="1" s="1"/>
  <c r="BO28" i="1"/>
  <c r="AE28" i="1"/>
  <c r="BM26" i="5" l="1"/>
  <c r="O19" i="12" s="1"/>
  <c r="BX26" i="5"/>
  <c r="V27" i="5"/>
  <c r="AT27" i="5"/>
  <c r="AU27" i="5"/>
  <c r="AN27" i="5"/>
  <c r="CO27" i="3"/>
  <c r="N20" i="12" s="1"/>
  <c r="AU28" i="3"/>
  <c r="BB28" i="3" s="1"/>
  <c r="BN28" i="3" s="1"/>
  <c r="BR28" i="3"/>
  <c r="AK28" i="3"/>
  <c r="AT28" i="3"/>
  <c r="BA28" i="3" s="1"/>
  <c r="BM28" i="3" s="1"/>
  <c r="CB27" i="3"/>
  <c r="CT27" i="3" s="1"/>
  <c r="DA27" i="3" s="1"/>
  <c r="CM27" i="3"/>
  <c r="CC27" i="3"/>
  <c r="CU27" i="3" s="1"/>
  <c r="DB27" i="3" s="1"/>
  <c r="J27" i="3"/>
  <c r="BS27" i="3"/>
  <c r="L27" i="3"/>
  <c r="CN27" i="3"/>
  <c r="M20" i="12" s="1"/>
  <c r="CI26" i="1"/>
  <c r="DE26" i="1" s="1"/>
  <c r="DF26" i="1"/>
  <c r="BP27" i="1"/>
  <c r="AF27" i="1"/>
  <c r="AQ28" i="1"/>
  <c r="AX28" i="1" s="1"/>
  <c r="BK28" i="1" s="1"/>
  <c r="AR29" i="1"/>
  <c r="AY29" i="1" s="1"/>
  <c r="BL29" i="1" s="1"/>
  <c r="AC17" i="12"/>
  <c r="C28" i="1"/>
  <c r="CL28" i="1"/>
  <c r="B27" i="1"/>
  <c r="CA27" i="1"/>
  <c r="CS27" i="1" s="1"/>
  <c r="DB27" i="1" s="1"/>
  <c r="BZ27" i="1"/>
  <c r="CR27" i="1" s="1"/>
  <c r="CK27" i="1"/>
  <c r="F10" i="15"/>
  <c r="AB21" i="12" s="1"/>
  <c r="AB20" i="12"/>
  <c r="DA27" i="1"/>
  <c r="T18" i="12"/>
  <c r="X18" i="12"/>
  <c r="Z20" i="12"/>
  <c r="E10" i="15"/>
  <c r="Z21" i="12" s="1"/>
  <c r="AX27" i="5" l="1"/>
  <c r="AW27" i="5"/>
  <c r="G27" i="5"/>
  <c r="BJ27" i="5" s="1"/>
  <c r="AC28" i="5"/>
  <c r="AF28" i="5" s="1"/>
  <c r="AM28" i="5" s="1"/>
  <c r="CK27" i="3"/>
  <c r="DE27" i="3" s="1"/>
  <c r="DD27" i="3"/>
  <c r="L20" i="12"/>
  <c r="CZ27" i="3"/>
  <c r="K20" i="12" s="1"/>
  <c r="DF27" i="3"/>
  <c r="N28" i="3"/>
  <c r="CO28" i="3"/>
  <c r="N21" i="12" s="1"/>
  <c r="BY28" i="3"/>
  <c r="CQ28" i="3" s="1"/>
  <c r="BZ28" i="3"/>
  <c r="CR28" i="3" s="1"/>
  <c r="BP28" i="3"/>
  <c r="AI28" i="3"/>
  <c r="BQ28" i="3"/>
  <c r="AJ28" i="3"/>
  <c r="AS28" i="1"/>
  <c r="AZ28" i="1" s="1"/>
  <c r="BM28" i="1" s="1"/>
  <c r="D27" i="1"/>
  <c r="DD27" i="1" s="1"/>
  <c r="CM27" i="1"/>
  <c r="BQ27" i="1"/>
  <c r="BO29" i="1"/>
  <c r="AE29" i="1"/>
  <c r="Y18" i="12"/>
  <c r="AA18" i="12"/>
  <c r="BW28" i="1"/>
  <c r="CO28" i="1" s="1"/>
  <c r="AD28" i="1"/>
  <c r="BX28" i="1"/>
  <c r="CP28" i="1" s="1"/>
  <c r="BN28" i="1"/>
  <c r="BM27" i="5" l="1"/>
  <c r="O20" i="12" s="1"/>
  <c r="BX27" i="5"/>
  <c r="V28" i="5"/>
  <c r="AT28" i="5"/>
  <c r="AU28" i="5"/>
  <c r="AN28" i="5"/>
  <c r="CC28" i="3"/>
  <c r="CU28" i="3" s="1"/>
  <c r="DB28" i="3" s="1"/>
  <c r="J28" i="3"/>
  <c r="BS28" i="3"/>
  <c r="CB28" i="3"/>
  <c r="CT28" i="3" s="1"/>
  <c r="DA28" i="3" s="1"/>
  <c r="CM28" i="3"/>
  <c r="L28" i="3"/>
  <c r="CN28" i="3"/>
  <c r="M21" i="12" s="1"/>
  <c r="CI27" i="1"/>
  <c r="BP28" i="1"/>
  <c r="AF28" i="1"/>
  <c r="CZ27" i="1"/>
  <c r="J19" i="12" s="1"/>
  <c r="R19" i="12" s="1"/>
  <c r="E19" i="12" s="1"/>
  <c r="U19" i="12" s="1"/>
  <c r="T19" i="12" s="1"/>
  <c r="DF27" i="1"/>
  <c r="BQ28" i="1"/>
  <c r="CA28" i="1"/>
  <c r="CS28" i="1" s="1"/>
  <c r="DB28" i="1" s="1"/>
  <c r="B28" i="1"/>
  <c r="BZ28" i="1"/>
  <c r="CR28" i="1" s="1"/>
  <c r="DA28" i="1" s="1"/>
  <c r="CK28" i="1"/>
  <c r="AC18" i="12"/>
  <c r="C29" i="1"/>
  <c r="CL29" i="1"/>
  <c r="AQ29" i="1"/>
  <c r="AX29" i="1" s="1"/>
  <c r="BK29" i="1" s="1"/>
  <c r="AW28" i="5" l="1"/>
  <c r="AX28" i="5"/>
  <c r="G28" i="5"/>
  <c r="BJ28" i="5" s="1"/>
  <c r="L21" i="12"/>
  <c r="CZ28" i="3"/>
  <c r="K21" i="12" s="1"/>
  <c r="DF28" i="3"/>
  <c r="CK28" i="3"/>
  <c r="DE28" i="3" s="1"/>
  <c r="DD28" i="3"/>
  <c r="DE27" i="1"/>
  <c r="X19" i="12"/>
  <c r="Y19" i="12" s="1"/>
  <c r="AS29" i="1"/>
  <c r="AZ29" i="1" s="1"/>
  <c r="BM29" i="1" s="1"/>
  <c r="D28" i="1"/>
  <c r="DD28" i="1" s="1"/>
  <c r="CM28" i="1"/>
  <c r="DF28" i="1" s="1"/>
  <c r="BW29" i="1"/>
  <c r="CO29" i="1" s="1"/>
  <c r="BX29" i="1"/>
  <c r="CP29" i="1" s="1"/>
  <c r="BN29" i="1"/>
  <c r="AD29" i="1"/>
  <c r="BM28" i="5" l="1"/>
  <c r="O21" i="12" s="1"/>
  <c r="BX28" i="5"/>
  <c r="AA19" i="12"/>
  <c r="AC19" i="12" s="1"/>
  <c r="CZ28" i="1"/>
  <c r="J20" i="12" s="1"/>
  <c r="R20" i="12" s="1"/>
  <c r="E20" i="12" s="1"/>
  <c r="U20" i="12" s="1"/>
  <c r="T20" i="12" s="1"/>
  <c r="CI28" i="1"/>
  <c r="DE28" i="1" s="1"/>
  <c r="BP29" i="1"/>
  <c r="AF29" i="1"/>
  <c r="CA29" i="1"/>
  <c r="CS29" i="1" s="1"/>
  <c r="DB29" i="1" s="1"/>
  <c r="B29" i="1"/>
  <c r="BZ29" i="1"/>
  <c r="CR29" i="1" s="1"/>
  <c r="DA29" i="1" s="1"/>
  <c r="CK29" i="1"/>
  <c r="X20" i="12" l="1"/>
  <c r="AA20" i="12" s="1"/>
  <c r="D29" i="1"/>
  <c r="DD29" i="1" s="1"/>
  <c r="CM29" i="1"/>
  <c r="DF29" i="1" s="1"/>
  <c r="BQ29" i="1"/>
  <c r="Y20" i="12" l="1"/>
  <c r="AC20" i="12" s="1"/>
  <c r="CI29" i="1"/>
  <c r="CZ29" i="1"/>
  <c r="J21" i="12" s="1"/>
  <c r="R21" i="12" s="1"/>
  <c r="E21" i="12" s="1"/>
  <c r="U21" i="12" s="1"/>
  <c r="T21" i="12" s="1"/>
  <c r="X21" i="12" l="1"/>
  <c r="Y21" i="12" s="1"/>
  <c r="DE29" i="1"/>
  <c r="AA21" i="12" l="1"/>
  <c r="AC21" i="12" s="1"/>
</calcChain>
</file>

<file path=xl/comments1.xml><?xml version="1.0" encoding="utf-8"?>
<comments xmlns="http://schemas.openxmlformats.org/spreadsheetml/2006/main">
  <authors>
    <author>Losada Muñoz, Raquel</author>
  </authors>
  <commentList>
    <comment ref="T4" authorId="0" shapeId="0">
      <text>
        <r>
          <rPr>
            <sz val="9"/>
            <color indexed="81"/>
            <rFont val="Tahoma"/>
            <family val="2"/>
          </rPr>
          <t xml:space="preserve">Incluye deducción por maternidad
</t>
        </r>
      </text>
    </comment>
  </commentList>
</comments>
</file>

<file path=xl/comments2.xml><?xml version="1.0" encoding="utf-8"?>
<comments xmlns="http://schemas.openxmlformats.org/spreadsheetml/2006/main">
  <authors>
    <author>Cuerpo Caballero, Carlos</author>
  </authors>
  <commentList>
    <comment ref="W24" authorId="0" shapeId="0">
      <text>
        <r>
          <rPr>
            <b/>
            <sz val="9"/>
            <color indexed="81"/>
            <rFont val="Tahoma"/>
            <family val="2"/>
          </rPr>
          <t>Cuerpo Caballero, Carlos:</t>
        </r>
        <r>
          <rPr>
            <sz val="9"/>
            <color indexed="81"/>
            <rFont val="Tahoma"/>
            <family val="2"/>
          </rPr>
          <t xml:space="preserve">
dato 2014 disponible, chequear update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</rPr>
          <t>Cuerpo Caballero, Carlos:</t>
        </r>
        <r>
          <rPr>
            <sz val="9"/>
            <color indexed="81"/>
            <rFont val="Tahoma"/>
            <family val="2"/>
          </rPr>
          <t xml:space="preserve">
Dato 2014 disponible</t>
        </r>
      </text>
    </comment>
  </commentList>
</comments>
</file>

<file path=xl/comments3.xml><?xml version="1.0" encoding="utf-8"?>
<comments xmlns="http://schemas.openxmlformats.org/spreadsheetml/2006/main">
  <authors>
    <author>Cuerpo Caballero, Carlos</author>
  </authors>
  <commentList>
    <comment ref="BF24" authorId="0" shapeId="0">
      <text>
        <r>
          <rPr>
            <b/>
            <sz val="9"/>
            <color indexed="81"/>
            <rFont val="Tahoma"/>
            <family val="2"/>
          </rPr>
          <t>Cuerpo Caballero, Carlos:</t>
        </r>
        <r>
          <rPr>
            <sz val="9"/>
            <color indexed="81"/>
            <rFont val="Tahoma"/>
            <family val="2"/>
          </rPr>
          <t xml:space="preserve">
Extendidos como una media ponderada de los parciales. Los coeficientes de ponderación se calculan en base a los años 2012 y 2013</t>
        </r>
      </text>
    </comment>
  </commentList>
</comments>
</file>

<file path=xl/sharedStrings.xml><?xml version="1.0" encoding="utf-8"?>
<sst xmlns="http://schemas.openxmlformats.org/spreadsheetml/2006/main" count="460" uniqueCount="256">
  <si>
    <t>Bases modelizadas</t>
  </si>
  <si>
    <t>Bases modelizadas, ln</t>
  </si>
  <si>
    <t>Series explicativas largo plazo</t>
  </si>
  <si>
    <t>Series explicativas largo plazo, ln</t>
  </si>
  <si>
    <t>Constantes largo plazo</t>
  </si>
  <si>
    <t>Errores largo plazo</t>
  </si>
  <si>
    <r>
      <t xml:space="preserve">Series explicativas corto plazo, </t>
    </r>
    <r>
      <rPr>
        <sz val="8"/>
        <color theme="1"/>
        <rFont val="Calibri"/>
        <family val="2"/>
      </rPr>
      <t>∆</t>
    </r>
    <r>
      <rPr>
        <sz val="8"/>
        <color theme="1"/>
        <rFont val="Tahoma"/>
        <family val="2"/>
      </rPr>
      <t>ln</t>
    </r>
  </si>
  <si>
    <t>Aportaciones</t>
  </si>
  <si>
    <t>Previsión anual</t>
  </si>
  <si>
    <t>Errores corto plazo</t>
  </si>
  <si>
    <t>SUPUESTOS DE EVOLUCIÓN:</t>
  </si>
  <si>
    <t>Predicciones</t>
  </si>
  <si>
    <t>Tpos efectivos</t>
  </si>
  <si>
    <t>Retenciones devengadas</t>
  </si>
  <si>
    <t>Tasas de variación</t>
  </si>
  <si>
    <t>T. anual</t>
  </si>
  <si>
    <t>Base Devengada Salarios</t>
  </si>
  <si>
    <t>Base Devengada Pensiones</t>
  </si>
  <si>
    <t>Base Devengada Prestaciones por Desempleo</t>
  </si>
  <si>
    <t>Log (Base sal)</t>
  </si>
  <si>
    <t>Log (Base pens)</t>
  </si>
  <si>
    <t>Log (Base prest)</t>
  </si>
  <si>
    <t>Rem. Asal (mill euros), base 2010</t>
  </si>
  <si>
    <t>EETC asalariado (miles)</t>
  </si>
  <si>
    <t>Pensiones contrib. y no contrib. (M€)</t>
  </si>
  <si>
    <t>Remuneración por asalariado</t>
  </si>
  <si>
    <t>Prestación Total por desempleo= beneficiarios prestación x prestación media diaria</t>
  </si>
  <si>
    <t>Log (REM ASAL)</t>
  </si>
  <si>
    <t>Log (EEETC ASAL)</t>
  </si>
  <si>
    <t>Log (PENS)</t>
  </si>
  <si>
    <t>Log (RPA)</t>
  </si>
  <si>
    <t>Log (PPD)</t>
  </si>
  <si>
    <t>cte salario</t>
  </si>
  <si>
    <t>cte pensiones</t>
  </si>
  <si>
    <t>cte prestaciones</t>
  </si>
  <si>
    <t>MCE salario</t>
  </si>
  <si>
    <t>MCE pensiones</t>
  </si>
  <si>
    <t>MCE prestaciones</t>
  </si>
  <si>
    <t>∆Log (EEETC ASAL)</t>
  </si>
  <si>
    <t>∆Log (PENS)</t>
  </si>
  <si>
    <t>∆Log (RPA)</t>
  </si>
  <si>
    <t>∆Log (PPD)</t>
  </si>
  <si>
    <t>∆Log (PENS(-1))</t>
  </si>
  <si>
    <t>MCE salario (-1)</t>
  </si>
  <si>
    <t>MCE pensiones (-1)</t>
  </si>
  <si>
    <t>MCE prestaciones (-1)</t>
  </si>
  <si>
    <t>Bases salario</t>
  </si>
  <si>
    <t>Bases pensiones</t>
  </si>
  <si>
    <t>Bases prestaciones</t>
  </si>
  <si>
    <t>Salario</t>
  </si>
  <si>
    <t>Pensiones</t>
  </si>
  <si>
    <t>Prestaciones</t>
  </si>
  <si>
    <t>Base sal</t>
  </si>
  <si>
    <t>Base pens</t>
  </si>
  <si>
    <t>Base prest</t>
  </si>
  <si>
    <t>Error estándar de predicción sal</t>
  </si>
  <si>
    <t>Error estándar de predicción pensiones</t>
  </si>
  <si>
    <t>Error estándar de predicción prestaciones</t>
  </si>
  <si>
    <t>Base  Sal (Lim. Inferior)</t>
  </si>
  <si>
    <t>Base Sal (Lím. Superior)</t>
  </si>
  <si>
    <t>Base Pensiones (Lim. Inferior)</t>
  </si>
  <si>
    <t>Base Pensiones (Lím. Superior)</t>
  </si>
  <si>
    <t>Base Prestaciones (Lim. Inferior)</t>
  </si>
  <si>
    <t>Base Prestaciones (Lím. Superior)</t>
  </si>
  <si>
    <t>Sal (Lim. Inferior)</t>
  </si>
  <si>
    <t>Sal (Lím. Superior)</t>
  </si>
  <si>
    <t>Pensiones (Lim. Inferior)</t>
  </si>
  <si>
    <t>Pensiones (Lím. Superior)</t>
  </si>
  <si>
    <t>Prestaciones (Lim. Inferior)</t>
  </si>
  <si>
    <t>Prestaciones (Lím. Superior)</t>
  </si>
  <si>
    <t>Cuota Devengada Total (Lím. Superior)</t>
  </si>
  <si>
    <t>Cuota Devengada Total (Lím. Inferior)</t>
  </si>
  <si>
    <t>Rentas sujetas</t>
  </si>
  <si>
    <t>Tipo efectivo</t>
  </si>
  <si>
    <t>Rentas devengadas</t>
  </si>
  <si>
    <t>Coefs:</t>
  </si>
  <si>
    <t>Ln</t>
  </si>
  <si>
    <t>Nivel</t>
  </si>
  <si>
    <t>Total</t>
  </si>
  <si>
    <t>Tipos efectivos totales salarios</t>
  </si>
  <si>
    <t>Tipos efectivos totales pensiones</t>
  </si>
  <si>
    <t>Tipos efectivos totales prestaciones</t>
  </si>
  <si>
    <t>%</t>
  </si>
  <si>
    <t>Resultado:</t>
  </si>
  <si>
    <t>Previsión  tasa anual</t>
  </si>
  <si>
    <t>Base Devengada K mobiliario</t>
  </si>
  <si>
    <t>Base Devengada inmuebles arrendados</t>
  </si>
  <si>
    <t>Base Devengada ganancias patrimoniales</t>
  </si>
  <si>
    <t>Índice de precios de alquileres, 2010=100</t>
  </si>
  <si>
    <t>Rentas de la propiedad (D.4). M€</t>
  </si>
  <si>
    <t>IBEX-35</t>
  </si>
  <si>
    <t>cte kmob</t>
  </si>
  <si>
    <t>cte karrend</t>
  </si>
  <si>
    <t>cte kganpat</t>
  </si>
  <si>
    <t>MCE kmob</t>
  </si>
  <si>
    <t>MCE karrend</t>
  </si>
  <si>
    <t>MCE kganpat</t>
  </si>
  <si>
    <t>∆Log (Rentas de la propiedad (D.4). M€)</t>
  </si>
  <si>
    <t>∆Log (Índice de precios de alquileres, 2010=100)</t>
  </si>
  <si>
    <t>∆Log (IBEX-35(-1))</t>
  </si>
  <si>
    <t>MCE kmob (-1)</t>
  </si>
  <si>
    <t>MCE karrend (-1)</t>
  </si>
  <si>
    <t>MCE kganpat (-1)</t>
  </si>
  <si>
    <t>Bases kmob</t>
  </si>
  <si>
    <t>Bases karrend</t>
  </si>
  <si>
    <t>Bases kganpat</t>
  </si>
  <si>
    <t>Con retención</t>
  </si>
  <si>
    <t xml:space="preserve"> </t>
  </si>
  <si>
    <t>Tipos efectivos K mobiliario</t>
  </si>
  <si>
    <t>Tipos efectivos K arrendamiento</t>
  </si>
  <si>
    <t>Tipos efectivos K ganancias patrimoniales</t>
  </si>
  <si>
    <t>Constante largo plazo</t>
  </si>
  <si>
    <t>Log (Base VEA)</t>
  </si>
  <si>
    <t>Log (Base IBP)</t>
  </si>
  <si>
    <t>Log (Base PF)</t>
  </si>
  <si>
    <t>Log (Base AP)</t>
  </si>
  <si>
    <t>EETC ocupado (miles)</t>
  </si>
  <si>
    <t>FBCF (M€)</t>
  </si>
  <si>
    <t>MCE Actividades Profesionales</t>
  </si>
  <si>
    <t>∆Log (EEETC ocup)</t>
  </si>
  <si>
    <t>∆Log (fbcf)</t>
  </si>
  <si>
    <t>MCE actividades profesionales (-1)</t>
  </si>
  <si>
    <t>cte actividades profesionales</t>
  </si>
  <si>
    <t>Base Actividades Profesionales</t>
  </si>
  <si>
    <t>Actividades Profesionales</t>
  </si>
  <si>
    <t>Tipos efectivos Ventas Empresarios Agrarios</t>
  </si>
  <si>
    <t>Tipos efectivos  Ingresos Brutos de Profesionales</t>
  </si>
  <si>
    <t>Tipos efectivos Pagos Fraccionados</t>
  </si>
  <si>
    <t>Ventas Empresarios Agrarios</t>
  </si>
  <si>
    <t>Ingresos Brutos de Profesionales</t>
  </si>
  <si>
    <t>Pagos Fraccionados</t>
  </si>
  <si>
    <r>
      <rPr>
        <b/>
        <sz val="6"/>
        <color theme="1"/>
        <rFont val="Calibri"/>
        <family val="2"/>
      </rPr>
      <t>∆</t>
    </r>
    <r>
      <rPr>
        <b/>
        <sz val="6"/>
        <color theme="1"/>
        <rFont val="Tahoma"/>
        <family val="2"/>
      </rPr>
      <t>RAE Cuadro 3.1. IA pre-2007</t>
    </r>
  </si>
  <si>
    <t>M€</t>
  </si>
  <si>
    <t>Trabajo</t>
  </si>
  <si>
    <t>Capital</t>
  </si>
  <si>
    <t>El proceso de previsión se realiza de forma secuencial:</t>
  </si>
  <si>
    <t>Teniendo en cuenta los riesgos e incertidumbres señalados, lo supuestos iniciales propuestos en cada uno de los tres pasos son los siguientes:</t>
  </si>
  <si>
    <t>Ingresos rentas consejeros</t>
  </si>
  <si>
    <t>Ingresos premios</t>
  </si>
  <si>
    <t>Tipos efectivos Pagos Fraccionados, sin retención sobre VEO ni deducción</t>
  </si>
  <si>
    <t>Ventas en Estimación Objetiva</t>
  </si>
  <si>
    <t xml:space="preserve">Total </t>
  </si>
  <si>
    <t>Consejeros</t>
  </si>
  <si>
    <t>Premios</t>
  </si>
  <si>
    <t>Exentas</t>
  </si>
  <si>
    <t xml:space="preserve">Rentas del trabajo </t>
  </si>
  <si>
    <t>Tipos efectivos</t>
  </si>
  <si>
    <t>Bases modelizadas (con retención)</t>
  </si>
  <si>
    <t>Capital mobiliario</t>
  </si>
  <si>
    <t>Inmuebles arrendados</t>
  </si>
  <si>
    <t>Ganancias patrimoniales</t>
  </si>
  <si>
    <t>Rentas del capital</t>
  </si>
  <si>
    <t>Rentas brutas de los hogares</t>
  </si>
  <si>
    <t>Empresas y otras</t>
  </si>
  <si>
    <t>RENTAS BRUTAS DE LOS HOGARES</t>
  </si>
  <si>
    <t xml:space="preserve">Rentas de la empresa y otras </t>
  </si>
  <si>
    <t>Otras rentas</t>
  </si>
  <si>
    <t>IRPF DEVENGADO</t>
  </si>
  <si>
    <t>Gravamen sobre loterias</t>
  </si>
  <si>
    <t>Retención por transparencia fiscal y atrbución de rentas</t>
  </si>
  <si>
    <t>Retenciones del trabajo</t>
  </si>
  <si>
    <t>Retenciones del capital</t>
  </si>
  <si>
    <t>Retenciones a la empresa</t>
  </si>
  <si>
    <t>t.impositivo medio efectivo Total sin cuota diferencial</t>
  </si>
  <si>
    <t>Retenciones sobre rentas del capital mobiliario</t>
  </si>
  <si>
    <t>Retenciones sobre arren-damientos</t>
  </si>
  <si>
    <t>Retenciones sobre fondos de inversión</t>
  </si>
  <si>
    <t>INGRESOS TRIBUTARIOS</t>
  </si>
  <si>
    <t>Total Cuota devengada</t>
  </si>
  <si>
    <t>Ratio ingresos brutos/cuota devengada</t>
  </si>
  <si>
    <t>Devoluciones y asignación a la Iglesia</t>
  </si>
  <si>
    <t>Ratio Devoluciones y asignación a la Iglesia - Cuota Devengada</t>
  </si>
  <si>
    <t>Otras rentas, no modelizadas (no sujetas, exentas o irrelevantes)</t>
  </si>
  <si>
    <t>Base Ventas Empresarios Agrarios</t>
  </si>
  <si>
    <t>Base Ingresos Brutos de Profesionales</t>
  </si>
  <si>
    <t>Base Pagos Fraccionados</t>
  </si>
  <si>
    <t>IRPF devengado</t>
  </si>
  <si>
    <t>t.impositivo medio efectivo Total 
(incluyendo cuota diferencial)</t>
  </si>
  <si>
    <t>- Cálculo de Bases y Retenciones devengadas</t>
  </si>
  <si>
    <t xml:space="preserve">Objetivo: </t>
  </si>
  <si>
    <t>La presente hoja de cálculo refleja, a modo de ejemplo ilustrativo, el procedimiento para realizar una previsión de la recaudación por retenciones del trabajo, el capital y las actividades económicas</t>
  </si>
  <si>
    <t xml:space="preserve">Desarrollo: </t>
  </si>
  <si>
    <r>
      <t xml:space="preserve">1. </t>
    </r>
    <r>
      <rPr>
        <b/>
        <sz val="10"/>
        <color theme="1"/>
        <rFont val="Cambria"/>
        <family val="1"/>
        <scheme val="major"/>
      </rPr>
      <t>Proyección de las bases imponibles</t>
    </r>
    <r>
      <rPr>
        <sz val="10"/>
        <color theme="1"/>
        <rFont val="Cambria"/>
        <family val="1"/>
        <scheme val="major"/>
      </rPr>
      <t>, a partir de una estimación previa de la relación de las bases con variables macroeconómicas relevantes.</t>
    </r>
  </si>
  <si>
    <r>
      <t xml:space="preserve">2. </t>
    </r>
    <r>
      <rPr>
        <b/>
        <sz val="10"/>
        <color theme="1"/>
        <rFont val="Cambria"/>
        <family val="1"/>
        <scheme val="major"/>
      </rPr>
      <t>Proyección de los recursos devengados</t>
    </r>
    <r>
      <rPr>
        <sz val="10"/>
        <color theme="1"/>
        <rFont val="Cambria"/>
        <family val="1"/>
        <scheme val="major"/>
      </rPr>
      <t>, aplicando a las bases imponibles los tipos efectivos.</t>
    </r>
  </si>
  <si>
    <r>
      <t xml:space="preserve">3. </t>
    </r>
    <r>
      <rPr>
        <b/>
        <sz val="10"/>
        <color theme="1"/>
        <rFont val="Cambria"/>
        <family val="1"/>
        <scheme val="major"/>
      </rPr>
      <t>Proyección de los recursos de caja a partir de los ingresos devengados</t>
    </r>
    <r>
      <rPr>
        <sz val="10"/>
        <color theme="1"/>
        <rFont val="Cambria"/>
        <family val="1"/>
        <scheme val="major"/>
      </rPr>
      <t>, añadiendo los ajustes debidos a la mecánica recaudatoria propia del impuesto.</t>
    </r>
  </si>
  <si>
    <r>
      <t xml:space="preserve">Cabe hablar, por tanto, de: (i) </t>
    </r>
    <r>
      <rPr>
        <i/>
        <sz val="10"/>
        <color theme="1"/>
        <rFont val="Cambria"/>
        <family val="1"/>
        <scheme val="major"/>
      </rPr>
      <t xml:space="preserve">riesgos conocidos o cuantificables </t>
    </r>
    <r>
      <rPr>
        <sz val="10"/>
        <color theme="1"/>
        <rFont val="Cambria"/>
        <family val="1"/>
        <scheme val="major"/>
      </rPr>
      <t xml:space="preserve">a través de la modelización econométrica realizada en el primer paso; y (ii) </t>
    </r>
    <r>
      <rPr>
        <i/>
        <sz val="10"/>
        <color theme="1"/>
        <rFont val="Cambria"/>
        <family val="1"/>
        <scheme val="major"/>
      </rPr>
      <t>riesgos no conocidos asociados a otros determinantes de la recaudación impositiva</t>
    </r>
    <r>
      <rPr>
        <sz val="10"/>
        <color theme="1"/>
        <rFont val="Cambria"/>
        <family val="1"/>
        <scheme val="major"/>
      </rPr>
      <t xml:space="preserve"> y, en particular, al paso desde las bases devengadas a los ingresos de caja, dependientes en gran medida de la mecánica recaudatoria propia a cada impuesto.</t>
    </r>
  </si>
  <si>
    <r>
      <rPr>
        <b/>
        <sz val="10"/>
        <rFont val="Cambria"/>
        <family val="1"/>
        <scheme val="major"/>
      </rPr>
      <t>El usuario puede interactuar en cada uno de estos tres pasos para las proyecciones de 2014-2018, introduciendo supuestos propios respecto a los determinantes macroeconómicos, los tipos efectivos o los ajustes y devoluciones en las hojas preparadas a tal efecto (supuestos a introducir)</t>
    </r>
    <r>
      <rPr>
        <sz val="10"/>
        <rFont val="Cambria"/>
        <family val="1"/>
        <scheme val="major"/>
      </rPr>
      <t>. De esta manera puede comprobar la sensibilidad de la recaudación final a los distintos ajustes o escenarios, teniendo con ello una idea de la incertidumbre que rodea a las previsiones finales.</t>
    </r>
  </si>
  <si>
    <r>
      <rPr>
        <b/>
        <sz val="10"/>
        <color theme="1"/>
        <rFont val="Cambria"/>
        <family val="1"/>
        <scheme val="major"/>
      </rPr>
      <t>Las bases se han dividido según su fuente de renta</t>
    </r>
    <r>
      <rPr>
        <sz val="10"/>
        <color theme="1"/>
        <rFont val="Cambria"/>
        <family val="1"/>
        <scheme val="major"/>
      </rPr>
      <t>, separando aquellas que pueden tener un tipo diferenciado, para permitir un mejor seguimiento de posibles cambios normativos</t>
    </r>
  </si>
  <si>
    <r>
      <rPr>
        <b/>
        <sz val="10"/>
        <color theme="0" tint="-0.499984740745262"/>
        <rFont val="Cambria"/>
        <family val="1"/>
        <scheme val="major"/>
      </rPr>
      <t xml:space="preserve">Además de proporcionar una estimación de la recaudación, la estimación mediante modelos de corrección del error permite una aproximación al concepto de ingresos estructurales o de largo plazo. </t>
    </r>
    <r>
      <rPr>
        <sz val="10"/>
        <color theme="0" tint="-0.499984740745262"/>
        <rFont val="Cambria"/>
        <family val="1"/>
        <scheme val="major"/>
      </rPr>
      <t>La evolución de largo plazo de los ingresos se calcula mediante la utilización de los vectores de cointegración estimados y las series determinantes filtradas mediante filtro HP.</t>
    </r>
  </si>
  <si>
    <r>
      <t xml:space="preserve">1. </t>
    </r>
    <r>
      <rPr>
        <b/>
        <sz val="10"/>
        <color theme="1"/>
        <rFont val="Cambria"/>
        <family val="1"/>
        <scheme val="major"/>
      </rPr>
      <t>Proyección de las bases imponibles</t>
    </r>
    <r>
      <rPr>
        <sz val="10"/>
        <color theme="1"/>
        <rFont val="Cambria"/>
        <family val="1"/>
        <scheme val="major"/>
      </rPr>
      <t>: evolución de las variables económicas explicativas se considera en principio inercial a modo ilustrativo, evolucionando según la media de los últimos 10 períodos. Otra opción inmediata sería una evolución acorde al escenario macro que acompaña al Programa de Estabilidad o atendiendo a proyecciones univariantes en caso de no estar incluidas en dicho cuadro.</t>
    </r>
  </si>
  <si>
    <r>
      <t xml:space="preserve">2. </t>
    </r>
    <r>
      <rPr>
        <b/>
        <sz val="10"/>
        <color theme="1"/>
        <rFont val="Cambria"/>
        <family val="1"/>
        <scheme val="major"/>
      </rPr>
      <t>Proyección de los recursos devengados</t>
    </r>
    <r>
      <rPr>
        <sz val="10"/>
        <color theme="1"/>
        <rFont val="Cambria"/>
        <family val="1"/>
        <scheme val="major"/>
      </rPr>
      <t xml:space="preserve">: aplicando a las bases imponibles los tipos efectivos del año anterior. Este supuesto de “no policy change” sirve para obtener la proyección de los ingresos devengados en un escenario sin cambios normativos. </t>
    </r>
    <r>
      <rPr>
        <b/>
        <sz val="11"/>
        <color theme="1"/>
        <rFont val="Calibri"/>
        <family val="2"/>
        <scheme val="minor"/>
      </rPr>
      <t/>
    </r>
  </si>
  <si>
    <r>
      <t xml:space="preserve">3. </t>
    </r>
    <r>
      <rPr>
        <b/>
        <sz val="10"/>
        <color theme="1"/>
        <rFont val="Cambria"/>
        <family val="1"/>
        <scheme val="major"/>
      </rPr>
      <t>Proyección de los recursos de caja a partir de los ingresos devengados</t>
    </r>
    <r>
      <rPr>
        <sz val="10"/>
        <color theme="1"/>
        <rFont val="Cambria"/>
        <family val="1"/>
        <scheme val="major"/>
      </rPr>
      <t>: Los ajustes debidos a la mecánica recaudatoria, incluyendo las devoluciones, son aproximados aplicando un promedio de los realizados en los últimos 3 ejercicios (desde el año 2011). De este modo se intenta simular, en la medida de los posible y siendo conscientes de los numerosos cambios normativos introducidos en este período, una hipotética “campaña tipo” en cuanto a la distribución de los ajustes a lo largo del tiempo.</t>
    </r>
  </si>
  <si>
    <t>Hipótesis 
iniciales:</t>
  </si>
  <si>
    <t>Sensibilidad:</t>
  </si>
  <si>
    <t>- Cálculo ingresos por IRPF</t>
  </si>
  <si>
    <t>II. Rentas del capital</t>
  </si>
  <si>
    <t>Volver al índice</t>
  </si>
  <si>
    <t xml:space="preserve">Introducir supuestos en las celdas con fondo verde </t>
  </si>
  <si>
    <t>Rentas Sujetas</t>
  </si>
  <si>
    <t>Variables Explicativas</t>
  </si>
  <si>
    <r>
      <rPr>
        <b/>
        <i/>
        <sz val="11"/>
        <color rgb="FFC00000"/>
        <rFont val="Cambria"/>
        <family val="1"/>
        <scheme val="major"/>
      </rPr>
      <t>Léeme:</t>
    </r>
    <r>
      <rPr>
        <i/>
        <sz val="11"/>
        <color theme="0" tint="-0.499984740745262"/>
        <rFont val="Cambria"/>
        <family val="1"/>
        <scheme val="major"/>
      </rPr>
      <t xml:space="preserve"> se aconseja su lectura para un buen funcionamiento de la hoja de cálculo.</t>
    </r>
  </si>
  <si>
    <t>Cuota devengada rentas del trabajo</t>
  </si>
  <si>
    <t>Cuota devengada rentas del capital</t>
  </si>
  <si>
    <t>Cuota devengada rentas de la empresa y otras</t>
  </si>
  <si>
    <t>IRPF Devengado</t>
  </si>
  <si>
    <t>Ingresos IRPF</t>
  </si>
  <si>
    <t>MODELIZACIÓN Y PROYECCIÓN DE INGRESOS POR IRPF</t>
  </si>
  <si>
    <t>Pincha para ir a la hoja correspondiente</t>
  </si>
  <si>
    <t>- Supuestos a introducir: Resultados</t>
  </si>
  <si>
    <t>I. Rentas del trabajo</t>
  </si>
  <si>
    <t>III. Rentas de la empresa y otras</t>
  </si>
  <si>
    <t>IV. RESULTADOS INGRESOS TOTALES IRPF</t>
  </si>
  <si>
    <t>Total sin cuota diferencial, M€</t>
  </si>
  <si>
    <t>Total, M€</t>
  </si>
  <si>
    <t>tipo efectivo Total , %</t>
  </si>
  <si>
    <t>IRPF total, neto de devoluciones, M€</t>
  </si>
  <si>
    <t>Ingresos brutos, M€</t>
  </si>
  <si>
    <t>t.impositivo medio efectivo Total sin cuota diferencial, %</t>
  </si>
  <si>
    <t>Base devengada total, M€</t>
  </si>
  <si>
    <t>Tipos efectivos salarios, %</t>
  </si>
  <si>
    <t>Tipos efectivos pensiones, %</t>
  </si>
  <si>
    <t>Tipos efectivos desempleo, %</t>
  </si>
  <si>
    <t>Tipos efectivos medios, %</t>
  </si>
  <si>
    <t>Base sal, M€</t>
  </si>
  <si>
    <t>Base pens, M€</t>
  </si>
  <si>
    <t>Base prest, M€</t>
  </si>
  <si>
    <t>Salarios, M€</t>
  </si>
  <si>
    <t>Pensiones, M€</t>
  </si>
  <si>
    <t>Prestaciones, M€</t>
  </si>
  <si>
    <t>Cuota Devengada Total, M€</t>
  </si>
  <si>
    <t>Prestación Total por desempleo= beneficiarios prestación x prestación media diaria, %</t>
  </si>
  <si>
    <t>Remuneración por asalariado, %</t>
  </si>
  <si>
    <t>Pensiones contrib. y no contrib. , %</t>
  </si>
  <si>
    <t>EETC asalariado , %</t>
  </si>
  <si>
    <t>EETC asalariado, %</t>
  </si>
  <si>
    <t>Pensiones contrib. y no contrib., %</t>
  </si>
  <si>
    <t>Cuota Devengada Total, %</t>
  </si>
  <si>
    <t>Tipos efectivos kmob, %</t>
  </si>
  <si>
    <t>Tipos efectivos karrend, %</t>
  </si>
  <si>
    <t>Tipos efectivos kganpat, %</t>
  </si>
  <si>
    <t>Kmob, M€</t>
  </si>
  <si>
    <t>Karrend, M€</t>
  </si>
  <si>
    <t>Kganpat, M€</t>
  </si>
  <si>
    <t>Base Devengada K mobiliario, M€</t>
  </si>
  <si>
    <t>Base Devengada inmuebles arrendados, M€</t>
  </si>
  <si>
    <t>Base Devengada ganancias patrimoniales, M€</t>
  </si>
  <si>
    <t>Rentas de la propiedad (D.4), %</t>
  </si>
  <si>
    <t>Índice de precios de alquileres, %</t>
  </si>
  <si>
    <t>IBEX-35, %</t>
  </si>
  <si>
    <t>Total retenciones a la empresa, M€</t>
  </si>
  <si>
    <t>EETC ocupado, %</t>
  </si>
  <si>
    <t>FBCF, %</t>
  </si>
  <si>
    <t>Base Actividades Profesionales, M€</t>
  </si>
  <si>
    <t>Cuota diferencial devengada</t>
  </si>
  <si>
    <t xml:space="preserve">Partiendo del la cuota devengada sin cuota diferencial, y teniendo en cuenta las rentas brutas totales de los hogares (que incluyen tanto las rentas sujetas como las no sujetas a retención) se solicitaría rellenar un tipo medio efectivo que relacione estos dos conceptos, estimándose una renta bruta total de los hogares para los años no observados.
</t>
  </si>
  <si>
    <t>Por otro lado, se solicita un tipo medio efectivo total que relacione las rentas brutas de los hogares con el IRPF Total devengado (incluyendo cuota diferencial).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</si>
</sst>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#,##0.000"/>
    <numFmt numFmtId="166" formatCode="0.000"/>
    <numFmt numFmtId="167" formatCode="0.0"/>
    <numFmt numFmtId="168" formatCode="0.00000"/>
    <numFmt numFmtId="169" formatCode="0.000000"/>
    <numFmt numFmtId="170" formatCode="#,##0.0"/>
    <numFmt numFmtId="171" formatCode="_ * #,##0.00_)\ [$€]_ ;_ * \(#,##0.00\)\ [$€]_ ;_ * &quot;-&quot;??_)\ [$€]_ ;_ @_ "/>
    <numFmt numFmtId="172" formatCode="0.0000"/>
  </numFmts>
  <fonts count="4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</font>
    <font>
      <b/>
      <sz val="8"/>
      <color theme="1"/>
      <name val="Tahoma"/>
      <family val="2"/>
    </font>
    <font>
      <sz val="8"/>
      <color theme="3" tint="-0.499984740745262"/>
      <name val="Tahoma"/>
      <family val="2"/>
    </font>
    <font>
      <sz val="9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6"/>
      <color theme="1"/>
      <name val="Tahoma"/>
      <family val="2"/>
    </font>
    <font>
      <b/>
      <sz val="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sz val="8"/>
      <name val="Tahoma"/>
      <family val="2"/>
    </font>
    <font>
      <b/>
      <sz val="8"/>
      <color theme="3" tint="-0.499984740745262"/>
      <name val="Tahoma"/>
      <family val="2"/>
    </font>
    <font>
      <sz val="10"/>
      <color theme="1"/>
      <name val="Cambria"/>
      <family val="1"/>
      <scheme val="major"/>
    </font>
    <font>
      <sz val="10"/>
      <color theme="0" tint="-0.499984740745262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theme="0" tint="-0.499984740745262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1"/>
      <color theme="0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sz val="12"/>
      <color theme="0" tint="-0.499984740745262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u/>
      <sz val="11"/>
      <color theme="0" tint="-0.499984740745262"/>
      <name val="Cambria"/>
      <family val="1"/>
      <scheme val="major"/>
    </font>
    <font>
      <u/>
      <sz val="12"/>
      <color theme="0" tint="-0.499984740745262"/>
      <name val="Cambria"/>
      <family val="1"/>
      <scheme val="major"/>
    </font>
    <font>
      <b/>
      <u/>
      <sz val="11"/>
      <color theme="0" tint="-0.499984740745262"/>
      <name val="Cambria"/>
      <family val="1"/>
      <scheme val="major"/>
    </font>
    <font>
      <b/>
      <sz val="9"/>
      <color theme="1"/>
      <name val="Tahoma"/>
      <family val="2"/>
    </font>
    <font>
      <sz val="8"/>
      <color rgb="FFC00000"/>
      <name val="Tahoma"/>
      <family val="2"/>
    </font>
    <font>
      <b/>
      <sz val="8"/>
      <color rgb="FFC00000"/>
      <name val="Tahoma"/>
      <family val="2"/>
    </font>
    <font>
      <i/>
      <sz val="11"/>
      <name val="Cambria"/>
      <family val="1"/>
      <scheme val="major"/>
    </font>
    <font>
      <b/>
      <i/>
      <sz val="11"/>
      <color rgb="FFC00000"/>
      <name val="Cambria"/>
      <family val="1"/>
      <scheme val="major"/>
    </font>
    <font>
      <i/>
      <sz val="11"/>
      <color theme="0" tint="-0.499984740745262"/>
      <name val="Cambria"/>
      <family val="1"/>
      <scheme val="major"/>
    </font>
    <font>
      <b/>
      <sz val="9"/>
      <color rgb="FFC00000"/>
      <name val="Tahoma"/>
      <family val="2"/>
    </font>
    <font>
      <sz val="9"/>
      <color theme="3"/>
      <name val="Cambria"/>
      <family val="1"/>
      <scheme val="major"/>
    </font>
    <font>
      <sz val="7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0" fontId="5" fillId="0" borderId="0"/>
    <xf numFmtId="167" fontId="5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32" fillId="0" borderId="0" applyNumberFormat="0" applyFill="0" applyBorder="0" applyAlignment="0" applyProtection="0"/>
  </cellStyleXfs>
  <cellXfs count="2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166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/>
    <xf numFmtId="165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2" fontId="1" fillId="0" borderId="0" xfId="0" applyNumberFormat="1" applyFont="1"/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/>
    <xf numFmtId="3" fontId="1" fillId="0" borderId="0" xfId="0" applyNumberFormat="1" applyFont="1"/>
    <xf numFmtId="166" fontId="1" fillId="4" borderId="0" xfId="0" applyNumberFormat="1" applyFont="1" applyFill="1"/>
    <xf numFmtId="165" fontId="1" fillId="0" borderId="0" xfId="0" applyNumberFormat="1" applyFont="1"/>
    <xf numFmtId="170" fontId="1" fillId="0" borderId="0" xfId="0" applyNumberFormat="1" applyFont="1"/>
    <xf numFmtId="0" fontId="3" fillId="0" borderId="0" xfId="0" applyFont="1"/>
    <xf numFmtId="167" fontId="1" fillId="0" borderId="10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72" fontId="1" fillId="0" borderId="0" xfId="0" applyNumberFormat="1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/>
    <xf numFmtId="0" fontId="1" fillId="0" borderId="3" xfId="0" applyFont="1" applyBorder="1" applyAlignment="1">
      <alignment horizontal="center" vertical="center"/>
    </xf>
    <xf numFmtId="167" fontId="1" fillId="7" borderId="7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wrapText="1"/>
    </xf>
    <xf numFmtId="2" fontId="1" fillId="0" borderId="0" xfId="0" applyNumberFormat="1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3" fontId="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2" fontId="17" fillId="0" borderId="0" xfId="0" applyNumberFormat="1" applyFont="1"/>
    <xf numFmtId="3" fontId="18" fillId="0" borderId="0" xfId="0" applyNumberFormat="1" applyFont="1"/>
    <xf numFmtId="0" fontId="20" fillId="3" borderId="1" xfId="0" applyFont="1" applyFill="1" applyBorder="1" applyAlignment="1">
      <alignment horizontal="center" vertical="center" wrapText="1"/>
    </xf>
    <xf numFmtId="167" fontId="1" fillId="7" borderId="9" xfId="0" applyNumberFormat="1" applyFont="1" applyFill="1" applyBorder="1" applyAlignment="1" applyProtection="1">
      <alignment horizontal="center" vertical="center"/>
      <protection locked="0" hidden="1"/>
    </xf>
    <xf numFmtId="49" fontId="19" fillId="3" borderId="1" xfId="17" applyNumberFormat="1" applyFont="1" applyFill="1" applyBorder="1" applyAlignment="1">
      <alignment horizontal="center" vertical="center" wrapText="1"/>
    </xf>
    <xf numFmtId="49" fontId="19" fillId="0" borderId="0" xfId="1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9" fillId="0" borderId="0" xfId="17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/>
    <xf numFmtId="0" fontId="21" fillId="9" borderId="1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3" fontId="1" fillId="7" borderId="0" xfId="0" applyNumberFormat="1" applyFont="1" applyFill="1" applyAlignment="1">
      <alignment horizontal="center"/>
    </xf>
    <xf numFmtId="164" fontId="1" fillId="0" borderId="0" xfId="16" applyFont="1" applyAlignment="1">
      <alignment horizontal="center"/>
    </xf>
    <xf numFmtId="3" fontId="1" fillId="7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0" fontId="1" fillId="7" borderId="0" xfId="0" applyNumberFormat="1" applyFont="1" applyFill="1" applyBorder="1" applyAlignment="1">
      <alignment horizontal="center"/>
    </xf>
    <xf numFmtId="3" fontId="1" fillId="7" borderId="0" xfId="0" applyNumberFormat="1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left" wrapText="1"/>
    </xf>
    <xf numFmtId="3" fontId="20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20" fillId="0" borderId="0" xfId="0" applyFont="1"/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 wrapText="1"/>
    </xf>
    <xf numFmtId="170" fontId="18" fillId="2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Alignment="1">
      <alignment horizontal="right" vertical="center"/>
    </xf>
    <xf numFmtId="170" fontId="18" fillId="0" borderId="0" xfId="0" applyNumberFormat="1" applyFont="1" applyAlignment="1">
      <alignment horizontal="right"/>
    </xf>
    <xf numFmtId="170" fontId="18" fillId="3" borderId="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/>
    <xf numFmtId="3" fontId="18" fillId="0" borderId="0" xfId="0" applyNumberFormat="1" applyFont="1" applyFill="1" applyBorder="1"/>
    <xf numFmtId="3" fontId="18" fillId="0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1" fontId="18" fillId="7" borderId="0" xfId="0" applyNumberFormat="1" applyFont="1" applyFill="1" applyAlignment="1">
      <alignment horizontal="center"/>
    </xf>
    <xf numFmtId="170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center"/>
    </xf>
    <xf numFmtId="3" fontId="1" fillId="7" borderId="0" xfId="0" applyNumberFormat="1" applyFont="1" applyFill="1" applyAlignment="1">
      <alignment horizontal="right" wrapText="1"/>
    </xf>
    <xf numFmtId="3" fontId="1" fillId="7" borderId="0" xfId="0" applyNumberFormat="1" applyFont="1" applyFill="1"/>
    <xf numFmtId="166" fontId="1" fillId="7" borderId="0" xfId="0" applyNumberFormat="1" applyFont="1" applyFill="1"/>
    <xf numFmtId="2" fontId="1" fillId="7" borderId="0" xfId="0" applyNumberFormat="1" applyFont="1" applyFill="1"/>
    <xf numFmtId="3" fontId="18" fillId="7" borderId="0" xfId="0" applyNumberFormat="1" applyFont="1" applyFill="1"/>
    <xf numFmtId="0" fontId="1" fillId="7" borderId="0" xfId="0" applyFont="1" applyFill="1"/>
    <xf numFmtId="4" fontId="18" fillId="7" borderId="0" xfId="0" applyNumberFormat="1" applyFont="1" applyFill="1"/>
    <xf numFmtId="3" fontId="1" fillId="0" borderId="0" xfId="0" applyNumberFormat="1" applyFont="1" applyAlignment="1">
      <alignment horizontal="center" wrapText="1"/>
    </xf>
    <xf numFmtId="3" fontId="18" fillId="7" borderId="0" xfId="0" applyNumberFormat="1" applyFont="1" applyFill="1" applyAlignment="1">
      <alignment horizontal="right" wrapText="1"/>
    </xf>
    <xf numFmtId="1" fontId="18" fillId="7" borderId="0" xfId="0" applyNumberFormat="1" applyFont="1" applyFill="1" applyAlignment="1">
      <alignment horizontal="left" wrapText="1"/>
    </xf>
    <xf numFmtId="1" fontId="20" fillId="7" borderId="0" xfId="0" applyNumberFormat="1" applyFont="1" applyFill="1" applyAlignment="1">
      <alignment horizontal="left" wrapText="1"/>
    </xf>
    <xf numFmtId="0" fontId="1" fillId="7" borderId="0" xfId="0" applyFont="1" applyFill="1" applyAlignment="1">
      <alignment horizontal="left" wrapText="1"/>
    </xf>
    <xf numFmtId="3" fontId="1" fillId="7" borderId="0" xfId="0" applyNumberFormat="1" applyFont="1" applyFill="1" applyAlignment="1">
      <alignment horizontal="right" vertical="center"/>
    </xf>
    <xf numFmtId="169" fontId="1" fillId="7" borderId="0" xfId="0" applyNumberFormat="1" applyFont="1" applyFill="1"/>
    <xf numFmtId="167" fontId="1" fillId="7" borderId="6" xfId="0" applyNumberFormat="1" applyFont="1" applyFill="1" applyBorder="1" applyAlignment="1" applyProtection="1">
      <alignment horizontal="center" vertical="center"/>
      <protection locked="0" hidden="1"/>
    </xf>
    <xf numFmtId="166" fontId="1" fillId="7" borderId="0" xfId="0" applyNumberFormat="1" applyFont="1" applyFill="1" applyAlignment="1">
      <alignment horizontal="right" wrapText="1"/>
    </xf>
    <xf numFmtId="0" fontId="1" fillId="7" borderId="8" xfId="0" applyFont="1" applyFill="1" applyBorder="1"/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wrapText="1"/>
    </xf>
    <xf numFmtId="168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7" borderId="0" xfId="0" applyFont="1" applyFill="1" applyAlignment="1">
      <alignment horizontal="right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Alignment="1">
      <alignment horizontal="right" wrapText="1"/>
    </xf>
    <xf numFmtId="167" fontId="1" fillId="7" borderId="0" xfId="0" applyNumberFormat="1" applyFont="1" applyFill="1" applyAlignment="1">
      <alignment horizontal="right" vertical="center" wrapText="1"/>
    </xf>
    <xf numFmtId="167" fontId="1" fillId="7" borderId="0" xfId="0" applyNumberFormat="1" applyFont="1" applyFill="1" applyAlignment="1">
      <alignment horizontal="right" vertical="center"/>
    </xf>
    <xf numFmtId="166" fontId="1" fillId="7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7" fontId="1" fillId="7" borderId="6" xfId="0" applyNumberFormat="1" applyFont="1" applyFill="1" applyBorder="1" applyAlignment="1" applyProtection="1">
      <alignment horizontal="right" vertical="center"/>
      <protection locked="0" hidden="1"/>
    </xf>
    <xf numFmtId="167" fontId="1" fillId="7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4" fontId="1" fillId="7" borderId="0" xfId="0" applyNumberFormat="1" applyFont="1" applyFill="1" applyAlignment="1">
      <alignment horizontal="right"/>
    </xf>
    <xf numFmtId="167" fontId="1" fillId="7" borderId="7" xfId="0" applyNumberFormat="1" applyFont="1" applyFill="1" applyBorder="1" applyAlignment="1" applyProtection="1">
      <alignment horizontal="right" vertical="center"/>
      <protection locked="0" hidden="1"/>
    </xf>
    <xf numFmtId="167" fontId="1" fillId="7" borderId="11" xfId="0" applyNumberFormat="1" applyFont="1" applyFill="1" applyBorder="1" applyAlignment="1" applyProtection="1">
      <alignment horizontal="right" vertical="center"/>
      <protection locked="0" hidden="1"/>
    </xf>
    <xf numFmtId="0" fontId="1" fillId="7" borderId="8" xfId="0" applyFont="1" applyFill="1" applyBorder="1" applyAlignment="1">
      <alignment horizontal="right"/>
    </xf>
    <xf numFmtId="167" fontId="1" fillId="7" borderId="9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Alignment="1">
      <alignment horizontal="right"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 wrapText="1"/>
    </xf>
    <xf numFmtId="3" fontId="1" fillId="7" borderId="0" xfId="0" applyNumberFormat="1" applyFont="1" applyFill="1" applyAlignment="1">
      <alignment horizontal="center" vertical="center"/>
    </xf>
    <xf numFmtId="172" fontId="1" fillId="7" borderId="0" xfId="0" applyNumberFormat="1" applyFont="1" applyFill="1" applyAlignment="1">
      <alignment horizontal="center" vertical="center"/>
    </xf>
    <xf numFmtId="0" fontId="29" fillId="0" borderId="0" xfId="0" applyFont="1"/>
    <xf numFmtId="0" fontId="31" fillId="0" borderId="0" xfId="0" applyFont="1"/>
    <xf numFmtId="0" fontId="22" fillId="0" borderId="0" xfId="0" applyFont="1" applyFill="1" applyBorder="1" applyAlignment="1">
      <alignment horizontal="left" wrapText="1"/>
    </xf>
    <xf numFmtId="0" fontId="22" fillId="4" borderId="0" xfId="0" applyFont="1" applyFill="1"/>
    <xf numFmtId="0" fontId="22" fillId="4" borderId="0" xfId="0" applyFont="1" applyFill="1" applyBorder="1"/>
    <xf numFmtId="0" fontId="22" fillId="4" borderId="0" xfId="0" applyFont="1" applyFill="1" applyBorder="1" applyAlignment="1">
      <alignment horizontal="left" wrapText="1"/>
    </xf>
    <xf numFmtId="0" fontId="27" fillId="4" borderId="0" xfId="0" applyFont="1" applyFill="1" applyAlignment="1">
      <alignment horizontal="left" wrapText="1" indent="4"/>
    </xf>
    <xf numFmtId="0" fontId="27" fillId="4" borderId="0" xfId="0" applyFont="1" applyFill="1" applyAlignment="1">
      <alignment horizontal="right" vertical="top"/>
    </xf>
    <xf numFmtId="0" fontId="27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0" fillId="0" borderId="0" xfId="0" applyFont="1"/>
    <xf numFmtId="0" fontId="28" fillId="0" borderId="0" xfId="0" applyFont="1"/>
    <xf numFmtId="0" fontId="35" fillId="0" borderId="0" xfId="0" applyFont="1"/>
    <xf numFmtId="0" fontId="36" fillId="0" borderId="0" xfId="0" applyFont="1"/>
    <xf numFmtId="0" fontId="28" fillId="0" borderId="0" xfId="18" quotePrefix="1" applyFont="1"/>
    <xf numFmtId="0" fontId="14" fillId="0" borderId="0" xfId="0" applyFont="1"/>
    <xf numFmtId="0" fontId="37" fillId="0" borderId="0" xfId="18" applyFont="1" applyAlignment="1">
      <alignment horizontal="center" vertical="center" wrapText="1"/>
    </xf>
    <xf numFmtId="0" fontId="37" fillId="0" borderId="0" xfId="18" applyFont="1" applyAlignment="1">
      <alignment vertical="center"/>
    </xf>
    <xf numFmtId="0" fontId="1" fillId="0" borderId="0" xfId="0" applyFont="1" applyFill="1" applyBorder="1" applyAlignment="1">
      <alignment vertical="center"/>
    </xf>
    <xf numFmtId="172" fontId="1" fillId="7" borderId="0" xfId="0" applyNumberFormat="1" applyFont="1" applyFill="1"/>
    <xf numFmtId="0" fontId="37" fillId="0" borderId="0" xfId="18" applyFont="1" applyAlignment="1">
      <alignment horizontal="center" vertical="center" wrapText="1"/>
    </xf>
    <xf numFmtId="0" fontId="39" fillId="11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4"/>
    </xf>
    <xf numFmtId="0" fontId="18" fillId="10" borderId="13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41" fillId="0" borderId="0" xfId="18" applyFont="1"/>
    <xf numFmtId="0" fontId="44" fillId="0" borderId="0" xfId="0" applyFont="1"/>
    <xf numFmtId="0" fontId="1" fillId="0" borderId="0" xfId="0" applyFont="1" applyAlignment="1">
      <alignment horizontal="left" indent="5"/>
    </xf>
    <xf numFmtId="0" fontId="40" fillId="0" borderId="0" xfId="0" applyFont="1" applyFill="1" applyAlignment="1"/>
    <xf numFmtId="0" fontId="17" fillId="0" borderId="0" xfId="0" applyFont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1" fillId="4" borderId="0" xfId="0" applyFont="1" applyFill="1"/>
    <xf numFmtId="0" fontId="40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5" fillId="0" borderId="0" xfId="0" applyFont="1"/>
    <xf numFmtId="0" fontId="1" fillId="0" borderId="0" xfId="0" applyFont="1" applyAlignment="1">
      <alignment vertical="top"/>
    </xf>
    <xf numFmtId="2" fontId="1" fillId="12" borderId="6" xfId="0" applyNumberFormat="1" applyFont="1" applyFill="1" applyBorder="1" applyAlignment="1" applyProtection="1">
      <alignment horizontal="center" vertical="center"/>
      <protection locked="0"/>
    </xf>
    <xf numFmtId="2" fontId="1" fillId="12" borderId="7" xfId="0" applyNumberFormat="1" applyFont="1" applyFill="1" applyBorder="1" applyAlignment="1" applyProtection="1">
      <alignment horizontal="center" vertical="center"/>
      <protection locked="0"/>
    </xf>
    <xf numFmtId="2" fontId="1" fillId="12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37" fillId="0" borderId="0" xfId="18" applyFont="1" applyAlignment="1">
      <alignment horizontal="center" vertical="center" wrapText="1"/>
    </xf>
    <xf numFmtId="0" fontId="40" fillId="11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38" fillId="12" borderId="2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4" xfId="0" applyFont="1" applyFill="1" applyBorder="1" applyAlignment="1">
      <alignment horizontal="center" vertical="center" wrapText="1"/>
    </xf>
    <xf numFmtId="0" fontId="37" fillId="0" borderId="0" xfId="18" applyFont="1" applyBorder="1" applyAlignment="1">
      <alignment horizontal="center" vertical="center" wrapText="1"/>
    </xf>
    <xf numFmtId="0" fontId="40" fillId="11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9" fillId="3" borderId="1" xfId="17" applyNumberFormat="1" applyFont="1" applyFill="1" applyBorder="1" applyAlignment="1">
      <alignment horizontal="center" vertical="center" wrapText="1"/>
    </xf>
    <xf numFmtId="49" fontId="19" fillId="2" borderId="2" xfId="17" applyNumberFormat="1" applyFont="1" applyFill="1" applyBorder="1" applyAlignment="1">
      <alignment horizontal="center" vertical="center"/>
    </xf>
    <xf numFmtId="49" fontId="19" fillId="2" borderId="3" xfId="17" applyNumberFormat="1" applyFont="1" applyFill="1" applyBorder="1" applyAlignment="1">
      <alignment horizontal="center" vertical="center"/>
    </xf>
    <xf numFmtId="49" fontId="19" fillId="2" borderId="4" xfId="17" applyNumberFormat="1" applyFont="1" applyFill="1" applyBorder="1" applyAlignment="1">
      <alignment horizontal="center" vertical="center"/>
    </xf>
    <xf numFmtId="2" fontId="1" fillId="12" borderId="18" xfId="0" applyNumberFormat="1" applyFont="1" applyFill="1" applyBorder="1" applyAlignment="1" applyProtection="1">
      <alignment horizontal="center" vertical="center"/>
      <protection locked="0"/>
    </xf>
    <xf numFmtId="2" fontId="1" fillId="12" borderId="8" xfId="0" applyNumberFormat="1" applyFont="1" applyFill="1" applyBorder="1" applyAlignment="1" applyProtection="1">
      <alignment horizontal="center" vertical="center"/>
      <protection locked="0"/>
    </xf>
    <xf numFmtId="2" fontId="1" fillId="12" borderId="12" xfId="0" applyNumberFormat="1" applyFont="1" applyFill="1" applyBorder="1" applyAlignment="1" applyProtection="1">
      <alignment horizontal="center" vertical="center"/>
      <protection locked="0"/>
    </xf>
  </cellXfs>
  <cellStyles count="19">
    <cellStyle name="Euro" xfId="1"/>
    <cellStyle name="Euro 2" xfId="2"/>
    <cellStyle name="Hipervínculo" xfId="18" builtinId="8"/>
    <cellStyle name="Millares" xfId="16" builtinId="3"/>
    <cellStyle name="Normal" xfId="0" builtinId="0"/>
    <cellStyle name="Normal 2" xfId="3"/>
    <cellStyle name="Normal 2 2" xfId="4"/>
    <cellStyle name="Normal 2 2 2" xfId="11"/>
    <cellStyle name="Normal 2 3" xfId="5"/>
    <cellStyle name="Normal 2 4" xfId="10"/>
    <cellStyle name="Normal 3" xfId="6"/>
    <cellStyle name="Normal 3 2" xfId="12"/>
    <cellStyle name="Normal 30" xfId="7"/>
    <cellStyle name="Normal 4" xfId="8"/>
    <cellStyle name="Normal 5" xfId="9"/>
    <cellStyle name="Normal_MELISDEV" xfId="17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Cálculos_actividad_eco!$BX$3</c:f>
              <c:strCache>
                <c:ptCount val="1"/>
                <c:pt idx="0">
                  <c:v>Cuota Devengada Total, M€</c:v>
                </c:pt>
              </c:strCache>
            </c:strRef>
          </c:tx>
          <c:marker>
            <c:symbol val="none"/>
          </c:marker>
          <c:cat>
            <c:numRef>
              <c:f>Cálculos_actividad_eco!$A$13:$A$28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Cálculos_actividad_eco!$BX$13:$BX$28</c:f>
              <c:numCache>
                <c:formatCode>#,##0</c:formatCode>
                <c:ptCount val="16"/>
                <c:pt idx="0">
                  <c:v>5428.0627820069085</c:v>
                </c:pt>
                <c:pt idx="1">
                  <c:v>5769.2150783929483</c:v>
                </c:pt>
                <c:pt idx="2">
                  <c:v>6110.1905896291582</c:v>
                </c:pt>
                <c:pt idx="3">
                  <c:v>6505.8155164712216</c:v>
                </c:pt>
                <c:pt idx="4">
                  <c:v>6854.3107865435159</c:v>
                </c:pt>
                <c:pt idx="5">
                  <c:v>6054.4301821300596</c:v>
                </c:pt>
                <c:pt idx="6">
                  <c:v>5390.0668455100249</c:v>
                </c:pt>
                <c:pt idx="7">
                  <c:v>5440.0901992399768</c:v>
                </c:pt>
                <c:pt idx="8">
                  <c:v>5131.2806620200463</c:v>
                </c:pt>
                <c:pt idx="9">
                  <c:v>5182.2624180999965</c:v>
                </c:pt>
                <c:pt idx="10">
                  <c:v>5561.9345999999978</c:v>
                </c:pt>
                <c:pt idx="11">
                  <c:v>5533.2590710525237</c:v>
                </c:pt>
                <c:pt idx="12">
                  <c:v>5581.028718893629</c:v>
                </c:pt>
                <c:pt idx="13">
                  <c:v>5612.2802513530396</c:v>
                </c:pt>
                <c:pt idx="14">
                  <c:v>5624.5194380412622</c:v>
                </c:pt>
                <c:pt idx="15">
                  <c:v>5614.3696937415016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Cálculos_actividad_eco!#REF!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4F81BD"/>
              </a:solidFill>
              <a:prstDash val="sysDash"/>
            </a:ln>
          </c:spPr>
          <c:marker>
            <c:symbol val="none"/>
          </c:marker>
          <c:cat>
            <c:numRef>
              <c:f>Cálculos_actividad_eco!$A$13:$A$28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Cálculos_actividad_eco!#REF!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87616"/>
        <c:axId val="626188176"/>
      </c:lineChart>
      <c:catAx>
        <c:axId val="6261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26188176"/>
        <c:crosses val="autoZero"/>
        <c:auto val="1"/>
        <c:lblAlgn val="ctr"/>
        <c:lblOffset val="100"/>
        <c:noMultiLvlLbl val="0"/>
      </c:catAx>
      <c:valAx>
        <c:axId val="626188176"/>
        <c:scaling>
          <c:orientation val="minMax"/>
          <c:min val="4000"/>
        </c:scaling>
        <c:delete val="0"/>
        <c:axPos val="l"/>
        <c:numFmt formatCode="0" sourceLinked="0"/>
        <c:majorTickMark val="none"/>
        <c:minorTickMark val="none"/>
        <c:tickLblPos val="nextTo"/>
        <c:crossAx val="62618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31999999999999"/>
          <c:y val="2.5544999999999988E-2"/>
          <c:w val="0.7425977777777778"/>
          <c:h val="0.172031111111111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Cálculos_IRPF!$T$4</c:f>
              <c:strCache>
                <c:ptCount val="1"/>
                <c:pt idx="0">
                  <c:v>Cuota diferencial devengada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Cálculos_IRPF!$T$9:$T$21</c:f>
              <c:numCache>
                <c:formatCode>#,##0</c:formatCode>
                <c:ptCount val="13"/>
                <c:pt idx="0">
                  <c:v>-180.9292760500079</c:v>
                </c:pt>
                <c:pt idx="1">
                  <c:v>-3697.6101923800179</c:v>
                </c:pt>
                <c:pt idx="2">
                  <c:v>-7878.19717029</c:v>
                </c:pt>
                <c:pt idx="3">
                  <c:v>-7728.7846498099998</c:v>
                </c:pt>
                <c:pt idx="4">
                  <c:v>-6388.1313950199947</c:v>
                </c:pt>
                <c:pt idx="5">
                  <c:v>-5506.2707285399993</c:v>
                </c:pt>
                <c:pt idx="6">
                  <c:v>-4706.4437552199997</c:v>
                </c:pt>
                <c:pt idx="7">
                  <c:v>-4426.6993234037473</c:v>
                </c:pt>
                <c:pt idx="8">
                  <c:v>-4700.4759445516538</c:v>
                </c:pt>
                <c:pt idx="9">
                  <c:v>-4832.9168325742066</c:v>
                </c:pt>
                <c:pt idx="10">
                  <c:v>-4932.2391228939814</c:v>
                </c:pt>
                <c:pt idx="11">
                  <c:v>-5024.5720258464571</c:v>
                </c:pt>
                <c:pt idx="12">
                  <c:v>-5108.5601673099009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24432"/>
        <c:axId val="630124992"/>
      </c:lineChart>
      <c:catAx>
        <c:axId val="63012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124992"/>
        <c:crosses val="autoZero"/>
        <c:auto val="1"/>
        <c:lblAlgn val="ctr"/>
        <c:lblOffset val="100"/>
        <c:noMultiLvlLbl val="0"/>
      </c:catAx>
      <c:valAx>
        <c:axId val="630124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012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031160738224826"/>
          <c:y val="0.8224841971374226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68599309451974855"/>
        </c:manualLayout>
      </c:layout>
      <c:lineChart>
        <c:grouping val="standard"/>
        <c:varyColors val="0"/>
        <c:ser>
          <c:idx val="0"/>
          <c:order val="0"/>
          <c:tx>
            <c:strRef>
              <c:f>Resultados_trabajo!$C$4</c:f>
              <c:strCache>
                <c:ptCount val="1"/>
                <c:pt idx="0">
                  <c:v>EETC asalariado,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Cálculos_trabajo!$BF$17:$BF$29</c:f>
              <c:numCache>
                <c:formatCode>0.0</c:formatCode>
                <c:ptCount val="13"/>
                <c:pt idx="0">
                  <c:v>4.2547009518756562</c:v>
                </c:pt>
                <c:pt idx="1">
                  <c:v>3.7017963709066626</c:v>
                </c:pt>
                <c:pt idx="2">
                  <c:v>0.25939882569452344</c:v>
                </c:pt>
                <c:pt idx="3">
                  <c:v>-5.9950235710248378</c:v>
                </c:pt>
                <c:pt idx="4">
                  <c:v>-2.4317974721208113</c:v>
                </c:pt>
                <c:pt idx="5">
                  <c:v>-2.614391542459249</c:v>
                </c:pt>
                <c:pt idx="6">
                  <c:v>-5.0684028887743482</c:v>
                </c:pt>
                <c:pt idx="7">
                  <c:v>-3.9253954945915881</c:v>
                </c:pt>
                <c:pt idx="8">
                  <c:v>1.5984616718928899</c:v>
                </c:pt>
                <c:pt idx="9">
                  <c:v>1.3711712638297731</c:v>
                </c:pt>
                <c:pt idx="10">
                  <c:v>1.1734629531049752</c:v>
                </c:pt>
                <c:pt idx="11">
                  <c:v>0.92133813639987427</c:v>
                </c:pt>
                <c:pt idx="12">
                  <c:v>0.65368021314355995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27232"/>
        <c:axId val="630517776"/>
      </c:lineChart>
      <c:catAx>
        <c:axId val="6301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517776"/>
        <c:crosses val="autoZero"/>
        <c:auto val="1"/>
        <c:lblAlgn val="ctr"/>
        <c:lblOffset val="100"/>
        <c:noMultiLvlLbl val="0"/>
      </c:catAx>
      <c:valAx>
        <c:axId val="63051777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012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54521279336124"/>
          <c:y val="6.7878333333333443E-2"/>
          <c:w val="0.60659021256712609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317584666889767"/>
          <c:y val="5.0925941602527419E-2"/>
          <c:w val="0.78195787037037034"/>
          <c:h val="0.68502860728946924"/>
        </c:manualLayout>
      </c:layout>
      <c:lineChart>
        <c:grouping val="standard"/>
        <c:varyColors val="0"/>
        <c:ser>
          <c:idx val="0"/>
          <c:order val="0"/>
          <c:tx>
            <c:strRef>
              <c:f>Resultados_trabajo!$D$4</c:f>
              <c:strCache>
                <c:ptCount val="1"/>
                <c:pt idx="0">
                  <c:v>Pensiones contrib. y no contrib.,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Cálculos_trabajo!$BG$17:$BG$29</c:f>
              <c:numCache>
                <c:formatCode>0.0</c:formatCode>
                <c:ptCount val="13"/>
                <c:pt idx="0">
                  <c:v>8.0814283401604357</c:v>
                </c:pt>
                <c:pt idx="1">
                  <c:v>6.4551582253431716</c:v>
                </c:pt>
                <c:pt idx="2">
                  <c:v>6.071565057004058</c:v>
                </c:pt>
                <c:pt idx="3">
                  <c:v>4.9300285004657773</c:v>
                </c:pt>
                <c:pt idx="4">
                  <c:v>7.183107358344154</c:v>
                </c:pt>
                <c:pt idx="5">
                  <c:v>3.6021789221421407</c:v>
                </c:pt>
                <c:pt idx="6">
                  <c:v>4.8260191221485949</c:v>
                </c:pt>
                <c:pt idx="7">
                  <c:v>4.6305735845625584</c:v>
                </c:pt>
                <c:pt idx="8">
                  <c:v>5.0604697467993622</c:v>
                </c:pt>
                <c:pt idx="9">
                  <c:v>4.5298103439131641</c:v>
                </c:pt>
                <c:pt idx="10">
                  <c:v>4.7617181993559203</c:v>
                </c:pt>
                <c:pt idx="11">
                  <c:v>4.7456429686577515</c:v>
                </c:pt>
                <c:pt idx="12">
                  <c:v>4.7744103146815497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20016"/>
        <c:axId val="630520576"/>
      </c:lineChart>
      <c:catAx>
        <c:axId val="63052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700"/>
            </a:pPr>
            <a:endParaRPr lang="es-ES"/>
          </a:p>
        </c:txPr>
        <c:crossAx val="630520576"/>
        <c:crosses val="autoZero"/>
        <c:auto val="1"/>
        <c:lblAlgn val="ctr"/>
        <c:lblOffset val="100"/>
        <c:noMultiLvlLbl val="0"/>
      </c:catAx>
      <c:valAx>
        <c:axId val="63052057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052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600527777777808"/>
          <c:y val="1.8489444444444444E-2"/>
          <c:w val="0.565532777777777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821666666666673"/>
          <c:y val="3.6505555555555597E-2"/>
          <c:w val="0.78419722222222221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Resultados_trabajo!$F$4</c:f>
              <c:strCache>
                <c:ptCount val="1"/>
                <c:pt idx="0">
                  <c:v>Prestación Total por desempleo= beneficiarios prestación x prestación media diaria,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Cálculos_trabajo!$BI$17:$BI$29</c:f>
              <c:numCache>
                <c:formatCode>0.0</c:formatCode>
                <c:ptCount val="13"/>
                <c:pt idx="0">
                  <c:v>5.7000741007284139</c:v>
                </c:pt>
                <c:pt idx="1">
                  <c:v>12.646391121788092</c:v>
                </c:pt>
                <c:pt idx="2">
                  <c:v>34.736045187144661</c:v>
                </c:pt>
                <c:pt idx="3">
                  <c:v>52.6552632540348</c:v>
                </c:pt>
                <c:pt idx="4">
                  <c:v>14.915391299919921</c:v>
                </c:pt>
                <c:pt idx="5">
                  <c:v>-5.4113349612090023</c:v>
                </c:pt>
                <c:pt idx="6">
                  <c:v>4.3344559457456633</c:v>
                </c:pt>
                <c:pt idx="7">
                  <c:v>-4.8567425967519284</c:v>
                </c:pt>
                <c:pt idx="8">
                  <c:v>2.2454424219261635</c:v>
                </c:pt>
                <c:pt idx="9">
                  <c:v>-0.92204479757227598</c:v>
                </c:pt>
                <c:pt idx="10">
                  <c:v>0.20027774333690559</c:v>
                </c:pt>
                <c:pt idx="11">
                  <c:v>-0.83326680726528379</c:v>
                </c:pt>
                <c:pt idx="12">
                  <c:v>0.17260214010637737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22816"/>
        <c:axId val="630523376"/>
      </c:lineChart>
      <c:catAx>
        <c:axId val="63052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523376"/>
        <c:crosses val="autoZero"/>
        <c:auto val="1"/>
        <c:lblAlgn val="ctr"/>
        <c:lblOffset val="100"/>
        <c:noMultiLvlLbl val="0"/>
      </c:catAx>
      <c:valAx>
        <c:axId val="63052337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63052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989832070142742"/>
          <c:y val="5.3767222222222272E-2"/>
          <c:w val="0.62575543789685517"/>
          <c:h val="0.4268799999999999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Resultados_trabajo!$E$4</c:f>
              <c:strCache>
                <c:ptCount val="1"/>
                <c:pt idx="0">
                  <c:v>Remuneración por asalariado,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Cálculos_trabajo!$BH$17:$BH$29</c:f>
              <c:numCache>
                <c:formatCode>0.0</c:formatCode>
                <c:ptCount val="13"/>
                <c:pt idx="0">
                  <c:v>3.9347180645604274</c:v>
                </c:pt>
                <c:pt idx="1">
                  <c:v>4.7283506167346223</c:v>
                </c:pt>
                <c:pt idx="2">
                  <c:v>6.845716421540704</c:v>
                </c:pt>
                <c:pt idx="3">
                  <c:v>4.3622135238402082</c:v>
                </c:pt>
                <c:pt idx="4">
                  <c:v>1.0557265260917603</c:v>
                </c:pt>
                <c:pt idx="5">
                  <c:v>0.86480460529962944</c:v>
                </c:pt>
                <c:pt idx="6">
                  <c:v>-0.59657412361133755</c:v>
                </c:pt>
                <c:pt idx="7">
                  <c:v>1.6685597317867895</c:v>
                </c:pt>
                <c:pt idx="8">
                  <c:v>0.74812918489171043</c:v>
                </c:pt>
                <c:pt idx="9">
                  <c:v>0.67122984959169796</c:v>
                </c:pt>
                <c:pt idx="10">
                  <c:v>0.62283616066471503</c:v>
                </c:pt>
                <c:pt idx="11">
                  <c:v>0.92768873173372812</c:v>
                </c:pt>
                <c:pt idx="12">
                  <c:v>0.74247098172046289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25616"/>
        <c:axId val="630526176"/>
      </c:lineChart>
      <c:catAx>
        <c:axId val="6305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526176"/>
        <c:crosses val="autoZero"/>
        <c:auto val="1"/>
        <c:lblAlgn val="ctr"/>
        <c:lblOffset val="100"/>
        <c:noMultiLvlLbl val="0"/>
      </c:catAx>
      <c:valAx>
        <c:axId val="63052617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052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7930052111565"/>
          <c:y val="0.17554231227651967"/>
          <c:w val="0.48374060945161562"/>
          <c:h val="0.2488563482604007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Cálculos_trabajo!$BQ$4</c:f>
              <c:strCache>
                <c:ptCount val="1"/>
                <c:pt idx="0">
                  <c:v>Base devengada total,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Cálculos_trabajo!$BQ$17:$BQ$29</c:f>
              <c:numCache>
                <c:formatCode>#,##0</c:formatCode>
                <c:ptCount val="13"/>
                <c:pt idx="0">
                  <c:v>415789.03700000001</c:v>
                </c:pt>
                <c:pt idx="1">
                  <c:v>449012.28899999982</c:v>
                </c:pt>
                <c:pt idx="2">
                  <c:v>479384.09699999978</c:v>
                </c:pt>
                <c:pt idx="3">
                  <c:v>476538.05199999979</c:v>
                </c:pt>
                <c:pt idx="4">
                  <c:v>474709.01000000018</c:v>
                </c:pt>
                <c:pt idx="5">
                  <c:v>473906.12599999987</c:v>
                </c:pt>
                <c:pt idx="6">
                  <c:v>455979.41000000009</c:v>
                </c:pt>
                <c:pt idx="7">
                  <c:v>450955.10699999984</c:v>
                </c:pt>
                <c:pt idx="8">
                  <c:v>461468.85922925652</c:v>
                </c:pt>
                <c:pt idx="9">
                  <c:v>473490.29540609138</c:v>
                </c:pt>
                <c:pt idx="10">
                  <c:v>485380.52787075588</c:v>
                </c:pt>
                <c:pt idx="11">
                  <c:v>497960.47601337644</c:v>
                </c:pt>
                <c:pt idx="12">
                  <c:v>509630.32303672738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28416"/>
        <c:axId val="630528976"/>
      </c:lineChart>
      <c:catAx>
        <c:axId val="6305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528976"/>
        <c:crosses val="autoZero"/>
        <c:auto val="1"/>
        <c:lblAlgn val="ctr"/>
        <c:lblOffset val="100"/>
        <c:noMultiLvlLbl val="0"/>
      </c:catAx>
      <c:valAx>
        <c:axId val="630528976"/>
        <c:scaling>
          <c:orientation val="minMax"/>
          <c:min val="300000"/>
        </c:scaling>
        <c:delete val="0"/>
        <c:axPos val="l"/>
        <c:numFmt formatCode="#,##0" sourceLinked="0"/>
        <c:majorTickMark val="none"/>
        <c:minorTickMark val="none"/>
        <c:tickLblPos val="nextTo"/>
        <c:crossAx val="63052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Cálculos_trabajo!$BN$4</c:f>
              <c:strCache>
                <c:ptCount val="1"/>
                <c:pt idx="0">
                  <c:v>Base sal,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Cálculos_trabajo!$BN$17:$BN$29</c:f>
              <c:numCache>
                <c:formatCode>#,##0</c:formatCode>
                <c:ptCount val="13"/>
                <c:pt idx="0">
                  <c:v>321315.74400000006</c:v>
                </c:pt>
                <c:pt idx="1">
                  <c:v>349235.61699999979</c:v>
                </c:pt>
                <c:pt idx="2">
                  <c:v>366818.77499999973</c:v>
                </c:pt>
                <c:pt idx="3">
                  <c:v>352145.12499999977</c:v>
                </c:pt>
                <c:pt idx="4">
                  <c:v>344505.60200000013</c:v>
                </c:pt>
                <c:pt idx="5">
                  <c:v>339789.0849999999</c:v>
                </c:pt>
                <c:pt idx="6">
                  <c:v>317397.48200000013</c:v>
                </c:pt>
                <c:pt idx="7">
                  <c:v>308695.72099999979</c:v>
                </c:pt>
                <c:pt idx="8">
                  <c:v>315191.0480598865</c:v>
                </c:pt>
                <c:pt idx="9">
                  <c:v>321662.31056234264</c:v>
                </c:pt>
                <c:pt idx="10">
                  <c:v>327798.64038286981</c:v>
                </c:pt>
                <c:pt idx="11">
                  <c:v>334129.52208498155</c:v>
                </c:pt>
                <c:pt idx="12">
                  <c:v>339023.33368910931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531216"/>
        <c:axId val="630531776"/>
      </c:lineChart>
      <c:catAx>
        <c:axId val="6305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531776"/>
        <c:crosses val="autoZero"/>
        <c:auto val="1"/>
        <c:lblAlgn val="ctr"/>
        <c:lblOffset val="100"/>
        <c:noMultiLvlLbl val="0"/>
      </c:catAx>
      <c:valAx>
        <c:axId val="630531776"/>
        <c:scaling>
          <c:orientation val="minMax"/>
          <c:min val="200000"/>
        </c:scaling>
        <c:delete val="0"/>
        <c:axPos val="l"/>
        <c:numFmt formatCode="#,##0" sourceLinked="0"/>
        <c:majorTickMark val="none"/>
        <c:minorTickMark val="none"/>
        <c:tickLblPos val="nextTo"/>
        <c:crossAx val="63053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04791532286776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Cálculos_trabajo!$BO$4</c:f>
              <c:strCache>
                <c:ptCount val="1"/>
                <c:pt idx="0">
                  <c:v>Base pens,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Cálculos_trabajo!$BO$17:$BO$29</c:f>
              <c:numCache>
                <c:formatCode>#,##0</c:formatCode>
                <c:ptCount val="13"/>
                <c:pt idx="0">
                  <c:v>84403.292999999947</c:v>
                </c:pt>
                <c:pt idx="1">
                  <c:v>88802.672000000035</c:v>
                </c:pt>
                <c:pt idx="2">
                  <c:v>97825.816000000064</c:v>
                </c:pt>
                <c:pt idx="3">
                  <c:v>102233.27100000001</c:v>
                </c:pt>
                <c:pt idx="4">
                  <c:v>106850.10600000004</c:v>
                </c:pt>
                <c:pt idx="5">
                  <c:v>112456.00399999994</c:v>
                </c:pt>
                <c:pt idx="6">
                  <c:v>116000.68899999998</c:v>
                </c:pt>
                <c:pt idx="7">
                  <c:v>120145.38600000007</c:v>
                </c:pt>
                <c:pt idx="8">
                  <c:v>123528.84423961767</c:v>
                </c:pt>
                <c:pt idx="9">
                  <c:v>129193.98620362373</c:v>
                </c:pt>
                <c:pt idx="10">
                  <c:v>134830.59747815688</c:v>
                </c:pt>
                <c:pt idx="11">
                  <c:v>141217.92678779989</c:v>
                </c:pt>
                <c:pt idx="12">
                  <c:v>147915.2021830006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68000"/>
        <c:axId val="630968560"/>
      </c:lineChart>
      <c:catAx>
        <c:axId val="63096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68560"/>
        <c:crosses val="autoZero"/>
        <c:auto val="1"/>
        <c:lblAlgn val="ctr"/>
        <c:lblOffset val="100"/>
        <c:noMultiLvlLbl val="0"/>
      </c:catAx>
      <c:valAx>
        <c:axId val="630968560"/>
        <c:scaling>
          <c:orientation val="minMax"/>
          <c:min val="20000"/>
        </c:scaling>
        <c:delete val="0"/>
        <c:axPos val="l"/>
        <c:numFmt formatCode="#,##0" sourceLinked="0"/>
        <c:majorTickMark val="none"/>
        <c:minorTickMark val="none"/>
        <c:tickLblPos val="nextTo"/>
        <c:crossAx val="63096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99423105079008"/>
          <c:y val="0.54754748209063253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Cálculos_trabajo!$BP$4</c:f>
              <c:strCache>
                <c:ptCount val="1"/>
                <c:pt idx="0">
                  <c:v>Base prest,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Cálculos_trabajo!$BP$17:$BP$29</c:f>
              <c:numCache>
                <c:formatCode>#,##0</c:formatCode>
                <c:ptCount val="13"/>
                <c:pt idx="0">
                  <c:v>10069.999999999996</c:v>
                </c:pt>
                <c:pt idx="1">
                  <c:v>10973.999999999998</c:v>
                </c:pt>
                <c:pt idx="2">
                  <c:v>14739.505999999999</c:v>
                </c:pt>
                <c:pt idx="3">
                  <c:v>22159.65600000001</c:v>
                </c:pt>
                <c:pt idx="4">
                  <c:v>23353.302000000018</c:v>
                </c:pt>
                <c:pt idx="5">
                  <c:v>21661.037000000015</c:v>
                </c:pt>
                <c:pt idx="6">
                  <c:v>22581.23899999999</c:v>
                </c:pt>
                <c:pt idx="7">
                  <c:v>22113.999999999989</c:v>
                </c:pt>
                <c:pt idx="8">
                  <c:v>22748.966929752376</c:v>
                </c:pt>
                <c:pt idx="9">
                  <c:v>22633.998640125013</c:v>
                </c:pt>
                <c:pt idx="10">
                  <c:v>22751.290009729233</c:v>
                </c:pt>
                <c:pt idx="11">
                  <c:v>22613.027140594986</c:v>
                </c:pt>
                <c:pt idx="12">
                  <c:v>22691.787164617443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70800"/>
        <c:axId val="630971360"/>
      </c:lineChart>
      <c:catAx>
        <c:axId val="6309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71360"/>
        <c:crosses val="autoZero"/>
        <c:auto val="1"/>
        <c:lblAlgn val="ctr"/>
        <c:lblOffset val="100"/>
        <c:noMultiLvlLbl val="0"/>
      </c:catAx>
      <c:valAx>
        <c:axId val="630971360"/>
        <c:scaling>
          <c:orientation val="minMax"/>
          <c:min val="5000"/>
        </c:scaling>
        <c:delete val="0"/>
        <c:axPos val="l"/>
        <c:numFmt formatCode="#,##0" sourceLinked="0"/>
        <c:majorTickMark val="none"/>
        <c:minorTickMark val="none"/>
        <c:tickLblPos val="nextTo"/>
        <c:crossAx val="63097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48080998277069"/>
          <c:y val="0.51175129599105273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7634599296929097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Cálculos_trabajo!$CI$4</c:f>
              <c:strCache>
                <c:ptCount val="1"/>
                <c:pt idx="0">
                  <c:v>Tipos efectivos medios,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Cálculos_trabajo!$CI$17:$CI$29</c:f>
              <c:numCache>
                <c:formatCode>0.00</c:formatCode>
                <c:ptCount val="13"/>
                <c:pt idx="0">
                  <c:v>12.812969380912275</c:v>
                </c:pt>
                <c:pt idx="1">
                  <c:v>12.825412624731072</c:v>
                </c:pt>
                <c:pt idx="2">
                  <c:v>12.109457629922165</c:v>
                </c:pt>
                <c:pt idx="3">
                  <c:v>12.018730552413464</c:v>
                </c:pt>
                <c:pt idx="4">
                  <c:v>12.853052912604291</c:v>
                </c:pt>
                <c:pt idx="5">
                  <c:v>12.947559854586046</c:v>
                </c:pt>
                <c:pt idx="6">
                  <c:v>13.359839006743753</c:v>
                </c:pt>
                <c:pt idx="7">
                  <c:v>13.443847172131029</c:v>
                </c:pt>
                <c:pt idx="8">
                  <c:v>14.178310457187685</c:v>
                </c:pt>
                <c:pt idx="9">
                  <c:v>14.190036507213573</c:v>
                </c:pt>
                <c:pt idx="10">
                  <c:v>14.160978377562456</c:v>
                </c:pt>
                <c:pt idx="11">
                  <c:v>14.103422832938497</c:v>
                </c:pt>
                <c:pt idx="12">
                  <c:v>14.057368266889162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73600"/>
        <c:axId val="630974160"/>
      </c:lineChart>
      <c:catAx>
        <c:axId val="6309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74160"/>
        <c:crosses val="autoZero"/>
        <c:auto val="1"/>
        <c:lblAlgn val="ctr"/>
        <c:lblOffset val="100"/>
        <c:noMultiLvlLbl val="0"/>
      </c:catAx>
      <c:valAx>
        <c:axId val="6309741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097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5447770575326124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68599309451974855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Cálculos_IRPF!$Y$4</c:f>
              <c:strCache>
                <c:ptCount val="1"/>
                <c:pt idx="0">
                  <c:v>Ingresos brutos, M€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Cálculos_IRPF!$Y$9:$Y$21</c:f>
              <c:numCache>
                <c:formatCode>#,##0</c:formatCode>
                <c:ptCount val="13"/>
                <c:pt idx="0">
                  <c:v>73576.570999999996</c:v>
                </c:pt>
                <c:pt idx="1">
                  <c:v>84310.684999999998</c:v>
                </c:pt>
                <c:pt idx="2">
                  <c:v>85158.758000000016</c:v>
                </c:pt>
                <c:pt idx="3">
                  <c:v>78857.831999999995</c:v>
                </c:pt>
                <c:pt idx="4">
                  <c:v>81101.91</c:v>
                </c:pt>
                <c:pt idx="5">
                  <c:v>82266.412000000011</c:v>
                </c:pt>
                <c:pt idx="6">
                  <c:v>82337.521000000008</c:v>
                </c:pt>
                <c:pt idx="7">
                  <c:v>82170.760999999999</c:v>
                </c:pt>
                <c:pt idx="8">
                  <c:v>87879.277256993868</c:v>
                </c:pt>
                <c:pt idx="9">
                  <c:v>90355.368966852504</c:v>
                </c:pt>
                <c:pt idx="10">
                  <c:v>92212.281158676371</c:v>
                </c:pt>
                <c:pt idx="11">
                  <c:v>93938.520985072581</c:v>
                </c:pt>
                <c:pt idx="12" formatCode="#,##0.0">
                  <c:v>95508.748608196693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90416"/>
        <c:axId val="626190976"/>
      </c:lineChart>
      <c:catAx>
        <c:axId val="62619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26190976"/>
        <c:crosses val="autoZero"/>
        <c:auto val="1"/>
        <c:lblAlgn val="ctr"/>
        <c:lblOffset val="100"/>
        <c:noMultiLvlLbl val="0"/>
      </c:catAx>
      <c:valAx>
        <c:axId val="626190976"/>
        <c:scaling>
          <c:orientation val="minMax"/>
          <c:min val="30000"/>
        </c:scaling>
        <c:delete val="0"/>
        <c:axPos val="l"/>
        <c:numFmt formatCode="#,##0" sourceLinked="0"/>
        <c:majorTickMark val="none"/>
        <c:minorTickMark val="none"/>
        <c:tickLblPos val="nextTo"/>
        <c:crossAx val="62619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20393143924315"/>
          <c:y val="0.54356848560742865"/>
          <c:w val="0.65093462465868768"/>
          <c:h val="8.4260693101963935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Cálculos_trabajo!$CF$4</c:f>
              <c:strCache>
                <c:ptCount val="1"/>
                <c:pt idx="0">
                  <c:v>Tipos efectivos salarios,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Cálculos_trabajo!$CF$17:$CF$29</c:f>
              <c:numCache>
                <c:formatCode>0.00</c:formatCode>
                <c:ptCount val="13"/>
                <c:pt idx="0">
                  <c:v>15.094810915956861</c:v>
                </c:pt>
                <c:pt idx="1">
                  <c:v>15.114874723674014</c:v>
                </c:pt>
                <c:pt idx="2">
                  <c:v>14.478788060943717</c:v>
                </c:pt>
                <c:pt idx="3">
                  <c:v>14.756446791645914</c:v>
                </c:pt>
                <c:pt idx="4">
                  <c:v>15.787292770931483</c:v>
                </c:pt>
                <c:pt idx="5">
                  <c:v>15.882337715468402</c:v>
                </c:pt>
                <c:pt idx="6">
                  <c:v>16.594653703018352</c:v>
                </c:pt>
                <c:pt idx="7">
                  <c:v>16.744492872319402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76400"/>
        <c:axId val="630976960"/>
      </c:lineChart>
      <c:catAx>
        <c:axId val="6309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76960"/>
        <c:crosses val="autoZero"/>
        <c:auto val="1"/>
        <c:lblAlgn val="ctr"/>
        <c:lblOffset val="100"/>
        <c:noMultiLvlLbl val="0"/>
      </c:catAx>
      <c:valAx>
        <c:axId val="6309769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097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759554053056118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6791703628194E-2"/>
          <c:y val="3.6607378411348361E-2"/>
          <c:w val="0.88235745060169368"/>
          <c:h val="0.73348583823957203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Cálculos_trabajo!$CG$4</c:f>
              <c:strCache>
                <c:ptCount val="1"/>
                <c:pt idx="0">
                  <c:v>Tipos efectivos pensiones,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Cálculos_trabajo!$CG$17:$CG$29</c:f>
              <c:numCache>
                <c:formatCode>0.00</c:formatCode>
                <c:ptCount val="13"/>
                <c:pt idx="0">
                  <c:v>5.5964344898249401</c:v>
                </c:pt>
                <c:pt idx="1">
                  <c:v>5.3731750323909182</c:v>
                </c:pt>
                <c:pt idx="2">
                  <c:v>5.0225699114025275</c:v>
                </c:pt>
                <c:pt idx="3">
                  <c:v>5.1590455322514339</c:v>
                </c:pt>
                <c:pt idx="4">
                  <c:v>6.1339171717808121</c:v>
                </c:pt>
                <c:pt idx="5">
                  <c:v>6.51233703804734</c:v>
                </c:pt>
                <c:pt idx="6">
                  <c:v>7.0297160045316627</c:v>
                </c:pt>
                <c:pt idx="7">
                  <c:v>7.3623426537578389</c:v>
                </c:pt>
                <c:pt idx="8">
                  <c:v>6.9681318987789469</c:v>
                </c:pt>
                <c:pt idx="9">
                  <c:v>7.1200635190228168</c:v>
                </c:pt>
                <c:pt idx="10">
                  <c:v>7.1501793571865342</c:v>
                </c:pt>
                <c:pt idx="11">
                  <c:v>7.0794582583294323</c:v>
                </c:pt>
                <c:pt idx="12">
                  <c:v>7.1165670448462608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79200"/>
        <c:axId val="630979760"/>
      </c:lineChart>
      <c:catAx>
        <c:axId val="6309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79760"/>
        <c:crosses val="autoZero"/>
        <c:auto val="1"/>
        <c:lblAlgn val="ctr"/>
        <c:lblOffset val="100"/>
        <c:noMultiLvlLbl val="0"/>
      </c:catAx>
      <c:valAx>
        <c:axId val="630979760"/>
        <c:scaling>
          <c:orientation val="minMax"/>
          <c:min val="2"/>
        </c:scaling>
        <c:delete val="0"/>
        <c:axPos val="l"/>
        <c:numFmt formatCode="#,##0.0" sourceLinked="0"/>
        <c:majorTickMark val="none"/>
        <c:minorTickMark val="none"/>
        <c:tickLblPos val="nextTo"/>
        <c:crossAx val="63097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3828846781526451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4780431267940395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Cálculos_trabajo!$CH$4</c:f>
              <c:strCache>
                <c:ptCount val="1"/>
                <c:pt idx="0">
                  <c:v>Tipos efectivos desempleo, %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Cálculos_trabajo!$CH$17:$CH$29</c:f>
              <c:numCache>
                <c:formatCode>0.00</c:formatCode>
                <c:ptCount val="13"/>
                <c:pt idx="0">
                  <c:v>0.49</c:v>
                </c:pt>
                <c:pt idx="1">
                  <c:v>0.27</c:v>
                </c:pt>
                <c:pt idx="2">
                  <c:v>0.18</c:v>
                </c:pt>
                <c:pt idx="3">
                  <c:v>0.16</c:v>
                </c:pt>
                <c:pt idx="4">
                  <c:v>0.31</c:v>
                </c:pt>
                <c:pt idx="5">
                  <c:v>0.32</c:v>
                </c:pt>
                <c:pt idx="6">
                  <c:v>0.41</c:v>
                </c:pt>
                <c:pt idx="7">
                  <c:v>0.41</c:v>
                </c:pt>
                <c:pt idx="8">
                  <c:v>0.37999999999999995</c:v>
                </c:pt>
                <c:pt idx="9">
                  <c:v>0.39999999999999997</c:v>
                </c:pt>
                <c:pt idx="10">
                  <c:v>0.39666666666666667</c:v>
                </c:pt>
                <c:pt idx="11">
                  <c:v>0.39222222222222219</c:v>
                </c:pt>
                <c:pt idx="12">
                  <c:v>0.39629629629629631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982000"/>
        <c:axId val="630982560"/>
      </c:lineChart>
      <c:catAx>
        <c:axId val="6309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982560"/>
        <c:crosses val="autoZero"/>
        <c:auto val="1"/>
        <c:lblAlgn val="ctr"/>
        <c:lblOffset val="100"/>
        <c:noMultiLvlLbl val="0"/>
      </c:catAx>
      <c:valAx>
        <c:axId val="6309825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098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6163633196556114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Cálculos_trabajo!$CZ$4</c:f>
              <c:strCache>
                <c:ptCount val="1"/>
                <c:pt idx="0">
                  <c:v>Cuota Devengada Total,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Cálculos_trabajo!$CZ$17:$CZ$29</c:f>
              <c:numCache>
                <c:formatCode>#,##0</c:formatCode>
                <c:ptCount val="13"/>
                <c:pt idx="0">
                  <c:v>53787.922000000013</c:v>
                </c:pt>
                <c:pt idx="1">
                  <c:v>58137.678799999965</c:v>
                </c:pt>
                <c:pt idx="2">
                  <c:v>58587.814110799969</c:v>
                </c:pt>
                <c:pt idx="3">
                  <c:v>57776.604502229959</c:v>
                </c:pt>
                <c:pt idx="4">
                  <c:v>61503.635260090006</c:v>
                </c:pt>
                <c:pt idx="5">
                  <c:v>61850.216485189972</c:v>
                </c:pt>
                <c:pt idx="6">
                  <c:v>61519.586581900032</c:v>
                </c:pt>
                <c:pt idx="7">
                  <c:v>61292.415399999954</c:v>
                </c:pt>
                <c:pt idx="8">
                  <c:v>65978.672273828386</c:v>
                </c:pt>
                <c:pt idx="9">
                  <c:v>67748.111464586153</c:v>
                </c:pt>
                <c:pt idx="10">
                  <c:v>69308.423421916319</c:v>
                </c:pt>
                <c:pt idx="11">
                  <c:v>70819.834225209852</c:v>
                </c:pt>
                <c:pt idx="12">
                  <c:v>72228.75231116575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51728"/>
        <c:axId val="631452288"/>
      </c:lineChart>
      <c:catAx>
        <c:axId val="6314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52288"/>
        <c:crosses val="autoZero"/>
        <c:auto val="1"/>
        <c:lblAlgn val="ctr"/>
        <c:lblOffset val="100"/>
        <c:noMultiLvlLbl val="0"/>
      </c:catAx>
      <c:valAx>
        <c:axId val="631452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45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Cálculos_trabajo!$CK$4</c:f>
              <c:strCache>
                <c:ptCount val="1"/>
                <c:pt idx="0">
                  <c:v>Salarios,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Cálculos_trabajo!$CK$17:$CK$29</c:f>
              <c:numCache>
                <c:formatCode>#,##0</c:formatCode>
                <c:ptCount val="13"/>
                <c:pt idx="0">
                  <c:v>48502.004000000015</c:v>
                </c:pt>
                <c:pt idx="1">
                  <c:v>52786.525999999962</c:v>
                </c:pt>
                <c:pt idx="2">
                  <c:v>53110.912999999964</c:v>
                </c:pt>
                <c:pt idx="3">
                  <c:v>51964.107999999964</c:v>
                </c:pt>
                <c:pt idx="4">
                  <c:v>54388.108000000007</c:v>
                </c:pt>
                <c:pt idx="5">
                  <c:v>53966.449999999975</c:v>
                </c:pt>
                <c:pt idx="6">
                  <c:v>52671.013000000028</c:v>
                </c:pt>
                <c:pt idx="7">
                  <c:v>51689.532999999952</c:v>
                </c:pt>
                <c:pt idx="8">
                  <c:v>56734.388650779569</c:v>
                </c:pt>
                <c:pt idx="9">
                  <c:v>57899.215901221673</c:v>
                </c:pt>
                <c:pt idx="10">
                  <c:v>59003.75526891656</c:v>
                </c:pt>
                <c:pt idx="11">
                  <c:v>60143.313975296682</c:v>
                </c:pt>
                <c:pt idx="12">
                  <c:v>61024.20006403968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54528"/>
        <c:axId val="631455088"/>
      </c:lineChart>
      <c:catAx>
        <c:axId val="6314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55088"/>
        <c:crosses val="autoZero"/>
        <c:auto val="1"/>
        <c:lblAlgn val="ctr"/>
        <c:lblOffset val="100"/>
        <c:noMultiLvlLbl val="0"/>
      </c:catAx>
      <c:valAx>
        <c:axId val="6314550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45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04791532286776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Cálculos_trabajo!$CL$4</c:f>
              <c:strCache>
                <c:ptCount val="1"/>
                <c:pt idx="0">
                  <c:v>Pensiones,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Cálculos_trabajo!$CL$17:$CL$29</c:f>
              <c:numCache>
                <c:formatCode>#,##0</c:formatCode>
                <c:ptCount val="13"/>
                <c:pt idx="0">
                  <c:v>4723.5749999999962</c:v>
                </c:pt>
                <c:pt idx="1">
                  <c:v>4771.5230000000029</c:v>
                </c:pt>
                <c:pt idx="2">
                  <c:v>4913.3700000000026</c:v>
                </c:pt>
                <c:pt idx="3">
                  <c:v>5274.2610000000013</c:v>
                </c:pt>
                <c:pt idx="4">
                  <c:v>6554.0970000000034</c:v>
                </c:pt>
                <c:pt idx="5">
                  <c:v>7323.5139999999947</c:v>
                </c:pt>
                <c:pt idx="6">
                  <c:v>8154.5189999999993</c:v>
                </c:pt>
                <c:pt idx="7">
                  <c:v>8845.5150000000049</c:v>
                </c:pt>
                <c:pt idx="8">
                  <c:v>8607.6527996537588</c:v>
                </c:pt>
                <c:pt idx="9">
                  <c:v>9198.6938804555848</c:v>
                </c:pt>
                <c:pt idx="10">
                  <c:v>9640.6295480544413</c:v>
                </c:pt>
                <c:pt idx="11">
                  <c:v>9997.4641802205115</c:v>
                </c:pt>
                <c:pt idx="12">
                  <c:v>10526.484532873137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57328"/>
        <c:axId val="631457888"/>
      </c:lineChart>
      <c:catAx>
        <c:axId val="63145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57888"/>
        <c:crosses val="autoZero"/>
        <c:auto val="1"/>
        <c:lblAlgn val="ctr"/>
        <c:lblOffset val="100"/>
        <c:noMultiLvlLbl val="0"/>
      </c:catAx>
      <c:valAx>
        <c:axId val="6314578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45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99423105079008"/>
          <c:y val="0.54754748209063253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Cálculos_trabajo!$CM$4</c:f>
              <c:strCache>
                <c:ptCount val="1"/>
                <c:pt idx="0">
                  <c:v>Prestaciones,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Cálculos_trabajo!$CM$17:$CM$29</c:f>
              <c:numCache>
                <c:formatCode>#,##0</c:formatCode>
                <c:ptCount val="13"/>
                <c:pt idx="0">
                  <c:v>49.342999999999982</c:v>
                </c:pt>
                <c:pt idx="1">
                  <c:v>29.629799999999996</c:v>
                </c:pt>
                <c:pt idx="2">
                  <c:v>26.531110799999997</c:v>
                </c:pt>
                <c:pt idx="3">
                  <c:v>35.455449600000016</c:v>
                </c:pt>
                <c:pt idx="4">
                  <c:v>72.395236200000056</c:v>
                </c:pt>
                <c:pt idx="5">
                  <c:v>69.315318400000052</c:v>
                </c:pt>
                <c:pt idx="6">
                  <c:v>92.583079899999959</c:v>
                </c:pt>
                <c:pt idx="7">
                  <c:v>90.667399999999944</c:v>
                </c:pt>
                <c:pt idx="8">
                  <c:v>86.446074333059016</c:v>
                </c:pt>
                <c:pt idx="9">
                  <c:v>90.535994560500043</c:v>
                </c:pt>
                <c:pt idx="10">
                  <c:v>90.24678370525929</c:v>
                </c:pt>
                <c:pt idx="11">
                  <c:v>88.693317562555876</c:v>
                </c:pt>
                <c:pt idx="12">
                  <c:v>89.926712096817283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60128"/>
        <c:axId val="631460688"/>
      </c:lineChart>
      <c:catAx>
        <c:axId val="6314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60688"/>
        <c:crosses val="autoZero"/>
        <c:auto val="1"/>
        <c:lblAlgn val="ctr"/>
        <c:lblOffset val="100"/>
        <c:noMultiLvlLbl val="0"/>
      </c:catAx>
      <c:valAx>
        <c:axId val="631460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46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212844173098394"/>
          <c:y val="0.54038824487071668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05747043087088"/>
          <c:y val="3.5508989756226905E-2"/>
          <c:w val="0.88235745060169368"/>
          <c:h val="0.84875944444444595"/>
        </c:manualLayout>
      </c:layout>
      <c:lineChart>
        <c:grouping val="standard"/>
        <c:varyColors val="0"/>
        <c:ser>
          <c:idx val="0"/>
          <c:order val="0"/>
          <c:tx>
            <c:strRef>
              <c:f>Cálculos_trabajo!$CZ$4</c:f>
              <c:strCache>
                <c:ptCount val="1"/>
                <c:pt idx="0">
                  <c:v>Cuota Devengada Total, M€</c:v>
                </c:pt>
              </c:strCache>
            </c:strRef>
          </c:tx>
          <c:marker>
            <c:symbol val="none"/>
          </c:marker>
          <c:cat>
            <c:numRef>
              <c:f>Cálculos_trabajo!$A$17:$A$29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Cálculos_trabajo!$CZ$17:$CZ$29</c:f>
              <c:numCache>
                <c:formatCode>#,##0</c:formatCode>
                <c:ptCount val="13"/>
                <c:pt idx="0">
                  <c:v>53787.922000000013</c:v>
                </c:pt>
                <c:pt idx="1">
                  <c:v>58137.678799999965</c:v>
                </c:pt>
                <c:pt idx="2">
                  <c:v>58587.814110799969</c:v>
                </c:pt>
                <c:pt idx="3">
                  <c:v>57776.604502229959</c:v>
                </c:pt>
                <c:pt idx="4">
                  <c:v>61503.635260090006</c:v>
                </c:pt>
                <c:pt idx="5">
                  <c:v>61850.216485189972</c:v>
                </c:pt>
                <c:pt idx="6">
                  <c:v>61519.586581900032</c:v>
                </c:pt>
                <c:pt idx="7">
                  <c:v>61292.415399999954</c:v>
                </c:pt>
                <c:pt idx="8">
                  <c:v>65978.672273828386</c:v>
                </c:pt>
                <c:pt idx="9">
                  <c:v>67748.111464586153</c:v>
                </c:pt>
                <c:pt idx="10">
                  <c:v>69308.423421916319</c:v>
                </c:pt>
                <c:pt idx="11">
                  <c:v>70819.834225209852</c:v>
                </c:pt>
                <c:pt idx="12">
                  <c:v>72228.75231116575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62928"/>
        <c:axId val="631463488"/>
      </c:lineChart>
      <c:catAx>
        <c:axId val="6314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63488"/>
        <c:crosses val="autoZero"/>
        <c:auto val="1"/>
        <c:lblAlgn val="ctr"/>
        <c:lblOffset val="100"/>
        <c:noMultiLvlLbl val="0"/>
      </c:catAx>
      <c:valAx>
        <c:axId val="631463488"/>
        <c:scaling>
          <c:orientation val="minMax"/>
          <c:min val="50000"/>
        </c:scaling>
        <c:delete val="0"/>
        <c:axPos val="l"/>
        <c:numFmt formatCode="0" sourceLinked="0"/>
        <c:majorTickMark val="none"/>
        <c:minorTickMark val="none"/>
        <c:tickLblPos val="nextTo"/>
        <c:crossAx val="63146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255533372096667"/>
          <c:y val="0.55074815303141245"/>
          <c:w val="0.7425977777777778"/>
          <c:h val="0.1720311111111113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075252133436774"/>
          <c:y val="3.2229698448359601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Resultados_capital!$C$4</c:f>
              <c:strCache>
                <c:ptCount val="1"/>
                <c:pt idx="0">
                  <c:v>Rentas de la propiedad (D.4),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Cálculos_capital!$BI$16:$BI$28</c:f>
              <c:numCache>
                <c:formatCode>0.0</c:formatCode>
                <c:ptCount val="13"/>
                <c:pt idx="0">
                  <c:v>17.181819968167254</c:v>
                </c:pt>
                <c:pt idx="1">
                  <c:v>19.384589586652123</c:v>
                </c:pt>
                <c:pt idx="2">
                  <c:v>12.210127115668246</c:v>
                </c:pt>
                <c:pt idx="3">
                  <c:v>-27.159272982175043</c:v>
                </c:pt>
                <c:pt idx="4">
                  <c:v>-13.866405457888675</c:v>
                </c:pt>
                <c:pt idx="5">
                  <c:v>18.861976776664946</c:v>
                </c:pt>
                <c:pt idx="6">
                  <c:v>-3.7212971666442884</c:v>
                </c:pt>
                <c:pt idx="7">
                  <c:v>-3.0701372060182308</c:v>
                </c:pt>
                <c:pt idx="8">
                  <c:v>-0.44896576347156203</c:v>
                </c:pt>
                <c:pt idx="9">
                  <c:v>2.9053941601327162</c:v>
                </c:pt>
                <c:pt idx="10">
                  <c:v>-1.0837514940003412</c:v>
                </c:pt>
                <c:pt idx="11">
                  <c:v>-0.4243650758393544</c:v>
                </c:pt>
                <c:pt idx="12">
                  <c:v>0.23707795670536469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65728"/>
        <c:axId val="631466288"/>
      </c:lineChart>
      <c:catAx>
        <c:axId val="63146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466288"/>
        <c:crosses val="autoZero"/>
        <c:auto val="1"/>
        <c:lblAlgn val="ctr"/>
        <c:lblOffset val="100"/>
        <c:noMultiLvlLbl val="0"/>
      </c:catAx>
      <c:valAx>
        <c:axId val="631466288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14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301918207360643"/>
          <c:y val="6.7878333333333443E-2"/>
          <c:w val="0.38512946747275323"/>
          <c:h val="0.2705733656366894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556753973905159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Resultados_capital!$E$4</c:f>
              <c:strCache>
                <c:ptCount val="1"/>
                <c:pt idx="0">
                  <c:v>IBEX-35,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Cálculos_capital!$BK$16:$BK$28</c:f>
              <c:numCache>
                <c:formatCode>0.0</c:formatCode>
                <c:ptCount val="13"/>
                <c:pt idx="0">
                  <c:v>24.675720375895871</c:v>
                </c:pt>
                <c:pt idx="1">
                  <c:v>20.660772609376043</c:v>
                </c:pt>
                <c:pt idx="2">
                  <c:v>-21.159431479874481</c:v>
                </c:pt>
                <c:pt idx="3">
                  <c:v>-14.051363862487499</c:v>
                </c:pt>
                <c:pt idx="4">
                  <c:v>1.0699995541324281</c:v>
                </c:pt>
                <c:pt idx="5">
                  <c:v>-4.5719196687147186</c:v>
                </c:pt>
                <c:pt idx="6">
                  <c:v>-22.098385692529099</c:v>
                </c:pt>
                <c:pt idx="7">
                  <c:v>14.933152523896087</c:v>
                </c:pt>
                <c:pt idx="8">
                  <c:v>20.524127736594664</c:v>
                </c:pt>
                <c:pt idx="9">
                  <c:v>5.6997073675153862</c:v>
                </c:pt>
                <c:pt idx="10">
                  <c:v>4.2254068065132087</c:v>
                </c:pt>
                <c:pt idx="11">
                  <c:v>2.7188896609379904</c:v>
                </c:pt>
                <c:pt idx="12">
                  <c:v>0.72281414139636457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41424"/>
        <c:axId val="631841984"/>
      </c:lineChart>
      <c:catAx>
        <c:axId val="6318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41984"/>
        <c:crosses val="autoZero"/>
        <c:auto val="1"/>
        <c:lblAlgn val="ctr"/>
        <c:lblOffset val="100"/>
        <c:noMultiLvlLbl val="0"/>
      </c:catAx>
      <c:valAx>
        <c:axId val="631841984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184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04222222222253"/>
          <c:y val="5.376722222222232E-2"/>
          <c:w val="0.4485282407407408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317584666889767"/>
          <c:y val="5.0925941602527419E-2"/>
          <c:w val="0.78195787037037034"/>
          <c:h val="0.6850286072894692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Cálculos_IRPF!$Z$4</c:f>
              <c:strCache>
                <c:ptCount val="1"/>
                <c:pt idx="0">
                  <c:v>Ratio ingresos brutos/cuota devengada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Cálculos_IRPF!$Z$9:$Z$21</c:f>
              <c:numCache>
                <c:formatCode>#,##0.00</c:formatCode>
                <c:ptCount val="13"/>
                <c:pt idx="0">
                  <c:v>1.1383300141417496</c:v>
                </c:pt>
                <c:pt idx="1">
                  <c:v>1.2415892780551594</c:v>
                </c:pt>
                <c:pt idx="2">
                  <c:v>1.3139195655194982</c:v>
                </c:pt>
                <c:pt idx="3">
                  <c:v>1.2550561672786635</c:v>
                </c:pt>
                <c:pt idx="4">
                  <c:v>1.2120930715401361</c:v>
                </c:pt>
                <c:pt idx="5">
                  <c:v>1.2030079459153316</c:v>
                </c:pt>
                <c:pt idx="6">
                  <c:v>1.1926252481084778</c:v>
                </c:pt>
                <c:pt idx="7">
                  <c:v>1.1850524934685438</c:v>
                </c:pt>
                <c:pt idx="8">
                  <c:v>1.1935618958307845</c:v>
                </c:pt>
                <c:pt idx="9">
                  <c:v>1.1935618958307845</c:v>
                </c:pt>
                <c:pt idx="10">
                  <c:v>1.1935618958307845</c:v>
                </c:pt>
                <c:pt idx="11">
                  <c:v>1.1935618958307845</c:v>
                </c:pt>
                <c:pt idx="12">
                  <c:v>1.1935618958307845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93216"/>
        <c:axId val="626193776"/>
      </c:lineChart>
      <c:catAx>
        <c:axId val="6261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700"/>
            </a:pPr>
            <a:endParaRPr lang="es-ES"/>
          </a:p>
        </c:txPr>
        <c:crossAx val="626193776"/>
        <c:crosses val="autoZero"/>
        <c:auto val="1"/>
        <c:lblAlgn val="ctr"/>
        <c:lblOffset val="100"/>
        <c:noMultiLvlLbl val="0"/>
      </c:catAx>
      <c:valAx>
        <c:axId val="62619377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2619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58488854947256"/>
          <c:y val="0.43842560266643005"/>
          <c:w val="0.565532777777777"/>
          <c:h val="0.2813407760885415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7820388888888981"/>
        </c:manualLayout>
      </c:layout>
      <c:lineChart>
        <c:grouping val="standard"/>
        <c:varyColors val="0"/>
        <c:ser>
          <c:idx val="0"/>
          <c:order val="0"/>
          <c:tx>
            <c:strRef>
              <c:f>Resultados_capital!$D$4</c:f>
              <c:strCache>
                <c:ptCount val="1"/>
                <c:pt idx="0">
                  <c:v>Índice de precios de alquileres,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Cálculos_capital!$BJ$16:$BJ$28</c:f>
              <c:numCache>
                <c:formatCode>0.0</c:formatCode>
                <c:ptCount val="13"/>
                <c:pt idx="0">
                  <c:v>4.359431136829639</c:v>
                </c:pt>
                <c:pt idx="1">
                  <c:v>4.3682651337879852</c:v>
                </c:pt>
                <c:pt idx="2">
                  <c:v>4.2448014811616641</c:v>
                </c:pt>
                <c:pt idx="3">
                  <c:v>3.0737100737100675</c:v>
                </c:pt>
                <c:pt idx="4">
                  <c:v>1.1110751659248796</c:v>
                </c:pt>
                <c:pt idx="5">
                  <c:v>1.0374015201076947</c:v>
                </c:pt>
                <c:pt idx="6">
                  <c:v>0.54983333333333828</c:v>
                </c:pt>
                <c:pt idx="7">
                  <c:v>-0.18589455643055475</c:v>
                </c:pt>
                <c:pt idx="8">
                  <c:v>-0.51454928156565716</c:v>
                </c:pt>
                <c:pt idx="9">
                  <c:v>2.4016906558957576</c:v>
                </c:pt>
                <c:pt idx="10">
                  <c:v>2.247239040603719</c:v>
                </c:pt>
                <c:pt idx="11">
                  <c:v>2.0630003366689573</c:v>
                </c:pt>
                <c:pt idx="12">
                  <c:v>1.854233900290714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44224"/>
        <c:axId val="631844784"/>
      </c:lineChart>
      <c:catAx>
        <c:axId val="6318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44784"/>
        <c:crosses val="autoZero"/>
        <c:auto val="1"/>
        <c:lblAlgn val="ctr"/>
        <c:lblOffset val="100"/>
        <c:noMultiLvlLbl val="0"/>
      </c:catAx>
      <c:valAx>
        <c:axId val="631844784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3184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26589973128768"/>
          <c:y val="0.11876391221298706"/>
          <c:w val="0.565532777777777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4292611111111162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Cálculos_capital!$CZ$3</c:f>
              <c:strCache>
                <c:ptCount val="1"/>
                <c:pt idx="0">
                  <c:v>Cuota Devengada Total, %</c:v>
                </c:pt>
              </c:strCache>
            </c:strRef>
          </c:tx>
          <c:marker>
            <c:symbol val="none"/>
          </c:marker>
          <c:cat>
            <c:numRef>
              <c:f>Cálculos_capital!$A$9:$A$28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Cálculos_capital!$CZ$9:$CZ$28</c:f>
              <c:numCache>
                <c:formatCode>#,##0</c:formatCode>
                <c:ptCount val="20"/>
                <c:pt idx="0">
                  <c:v>3723.4294012046471</c:v>
                </c:pt>
                <c:pt idx="1">
                  <c:v>3743.2989890526833</c:v>
                </c:pt>
                <c:pt idx="2">
                  <c:v>3641.3687740014848</c:v>
                </c:pt>
                <c:pt idx="3">
                  <c:v>3539.8091922022559</c:v>
                </c:pt>
                <c:pt idx="4">
                  <c:v>2989.7599685497767</c:v>
                </c:pt>
                <c:pt idx="5">
                  <c:v>2931.5852640646376</c:v>
                </c:pt>
                <c:pt idx="6">
                  <c:v>3165.7030371370251</c:v>
                </c:pt>
                <c:pt idx="7">
                  <c:v>4070.6581319475108</c:v>
                </c:pt>
                <c:pt idx="8">
                  <c:v>6066.605762096704</c:v>
                </c:pt>
                <c:pt idx="9">
                  <c:v>7483.2767965583353</c:v>
                </c:pt>
                <c:pt idx="10">
                  <c:v>6861.2271595615957</c:v>
                </c:pt>
                <c:pt idx="11">
                  <c:v>5812.0350814770836</c:v>
                </c:pt>
                <c:pt idx="12">
                  <c:v>6346.704277154302</c:v>
                </c:pt>
                <c:pt idx="13">
                  <c:v>6447.4828138021485</c:v>
                </c:pt>
                <c:pt idx="14">
                  <c:v>5912.6920553814025</c:v>
                </c:pt>
                <c:pt idx="15">
                  <c:v>5862.4949190834368</c:v>
                </c:pt>
                <c:pt idx="16">
                  <c:v>6244.9068130747382</c:v>
                </c:pt>
                <c:pt idx="17">
                  <c:v>6301.6073010108821</c:v>
                </c:pt>
                <c:pt idx="18">
                  <c:v>6312.1844883926169</c:v>
                </c:pt>
                <c:pt idx="19">
                  <c:v>6314.5074349541028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47024"/>
        <c:axId val="631847584"/>
      </c:lineChart>
      <c:catAx>
        <c:axId val="63184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47584"/>
        <c:crosses val="autoZero"/>
        <c:auto val="1"/>
        <c:lblAlgn val="ctr"/>
        <c:lblOffset val="100"/>
        <c:noMultiLvlLbl val="0"/>
      </c:catAx>
      <c:valAx>
        <c:axId val="63184758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63184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957000000000032"/>
          <c:y val="0.54765611111111101"/>
          <c:w val="0.64381999999999995"/>
          <c:h val="0.2284755555555555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Cálculos_capital!$BS$3</c:f>
              <c:strCache>
                <c:ptCount val="1"/>
                <c:pt idx="0">
                  <c:v>Base devengada total,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Cálculos_capital!$BS$16:$BS$28</c:f>
              <c:numCache>
                <c:formatCode>#,##0</c:formatCode>
                <c:ptCount val="13"/>
                <c:pt idx="0">
                  <c:v>27137.720879650071</c:v>
                </c:pt>
                <c:pt idx="1">
                  <c:v>33703.365344981692</c:v>
                </c:pt>
                <c:pt idx="2">
                  <c:v>41573.759980879637</c:v>
                </c:pt>
                <c:pt idx="3">
                  <c:v>38117.928664231091</c:v>
                </c:pt>
                <c:pt idx="4">
                  <c:v>30589.658323563603</c:v>
                </c:pt>
                <c:pt idx="5">
                  <c:v>33403.70672186475</c:v>
                </c:pt>
                <c:pt idx="6">
                  <c:v>30702.301732391177</c:v>
                </c:pt>
                <c:pt idx="7">
                  <c:v>28155.67645419715</c:v>
                </c:pt>
                <c:pt idx="8">
                  <c:v>27916.642627375571</c:v>
                </c:pt>
                <c:pt idx="9">
                  <c:v>29737.651800223604</c:v>
                </c:pt>
                <c:pt idx="10">
                  <c:v>30007.65414241406</c:v>
                </c:pt>
                <c:pt idx="11">
                  <c:v>30058.021713186623</c:v>
                </c:pt>
                <c:pt idx="12">
                  <c:v>30069.083364601469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49824"/>
        <c:axId val="631850384"/>
      </c:lineChart>
      <c:catAx>
        <c:axId val="6318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50384"/>
        <c:crosses val="autoZero"/>
        <c:auto val="1"/>
        <c:lblAlgn val="ctr"/>
        <c:lblOffset val="100"/>
        <c:noMultiLvlLbl val="0"/>
      </c:catAx>
      <c:valAx>
        <c:axId val="6318503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8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Cálculos_capital!$BP$3</c:f>
              <c:strCache>
                <c:ptCount val="1"/>
                <c:pt idx="0">
                  <c:v>Base Devengada K mobiliario,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Cálculos_capital!$BP$16:$BP$28</c:f>
              <c:numCache>
                <c:formatCode>#,##0</c:formatCode>
                <c:ptCount val="13"/>
                <c:pt idx="0">
                  <c:v>15583.634761450083</c:v>
                </c:pt>
                <c:pt idx="1">
                  <c:v>21199.342199081446</c:v>
                </c:pt>
                <c:pt idx="2">
                  <c:v>27515.674762824081</c:v>
                </c:pt>
                <c:pt idx="3">
                  <c:v>27184.849648175536</c:v>
                </c:pt>
                <c:pt idx="4">
                  <c:v>20827.491619458335</c:v>
                </c:pt>
                <c:pt idx="5">
                  <c:v>24159.482691022647</c:v>
                </c:pt>
                <c:pt idx="6">
                  <c:v>22095.146732391178</c:v>
                </c:pt>
                <c:pt idx="7">
                  <c:v>20388.67645419715</c:v>
                </c:pt>
                <c:pt idx="8">
                  <c:v>19357.225539356026</c:v>
                </c:pt>
                <c:pt idx="9">
                  <c:v>19119.712361742942</c:v>
                </c:pt>
                <c:pt idx="10">
                  <c:v>18811.004933604556</c:v>
                </c:pt>
                <c:pt idx="11">
                  <c:v>18600.661252490783</c:v>
                </c:pt>
                <c:pt idx="12">
                  <c:v>18512.179315826506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52624"/>
        <c:axId val="631853184"/>
      </c:lineChart>
      <c:catAx>
        <c:axId val="63185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53184"/>
        <c:crosses val="autoZero"/>
        <c:auto val="1"/>
        <c:lblAlgn val="ctr"/>
        <c:lblOffset val="100"/>
        <c:noMultiLvlLbl val="0"/>
      </c:catAx>
      <c:valAx>
        <c:axId val="6318531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85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04791532286776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Cálculos_capital!$BQ$3</c:f>
              <c:strCache>
                <c:ptCount val="1"/>
                <c:pt idx="0">
                  <c:v>Base Devengada inmuebles arrendados,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Cálculos_capital!$BQ$16:$BQ$28</c:f>
              <c:numCache>
                <c:formatCode>#,##0</c:formatCode>
                <c:ptCount val="13"/>
                <c:pt idx="0">
                  <c:v>7578.8807715333269</c:v>
                </c:pt>
                <c:pt idx="1">
                  <c:v>8052.48103722222</c:v>
                </c:pt>
                <c:pt idx="2">
                  <c:v>8398.9867419444436</c:v>
                </c:pt>
                <c:pt idx="3">
                  <c:v>7966.9614716111073</c:v>
                </c:pt>
                <c:pt idx="4">
                  <c:v>7632.316467263161</c:v>
                </c:pt>
                <c:pt idx="5">
                  <c:v>7390.4117355789431</c:v>
                </c:pt>
                <c:pt idx="6">
                  <c:v>6906.7689999999993</c:v>
                </c:pt>
                <c:pt idx="7">
                  <c:v>6358.6140000000032</c:v>
                </c:pt>
                <c:pt idx="8">
                  <c:v>6379.619543853215</c:v>
                </c:pt>
                <c:pt idx="9">
                  <c:v>7444.040171502279</c:v>
                </c:pt>
                <c:pt idx="10">
                  <c:v>7842.4091776770083</c:v>
                </c:pt>
                <c:pt idx="11">
                  <c:v>8008.1786268142605</c:v>
                </c:pt>
                <c:pt idx="12">
                  <c:v>8085.1439739452017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855424"/>
        <c:axId val="631855984"/>
      </c:lineChart>
      <c:catAx>
        <c:axId val="6318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1855984"/>
        <c:crosses val="autoZero"/>
        <c:auto val="1"/>
        <c:lblAlgn val="ctr"/>
        <c:lblOffset val="100"/>
        <c:noMultiLvlLbl val="0"/>
      </c:catAx>
      <c:valAx>
        <c:axId val="6318559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18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99423105079008"/>
          <c:y val="0.54754748209063253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Cálculos_capital!$BR$3</c:f>
              <c:strCache>
                <c:ptCount val="1"/>
                <c:pt idx="0">
                  <c:v>Base Devengada ganancias patrimoniales,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Cálculos_capital!$BR$16:$BR$28</c:f>
              <c:numCache>
                <c:formatCode>#,##0</c:formatCode>
                <c:ptCount val="13"/>
                <c:pt idx="0">
                  <c:v>3975.2053466666634</c:v>
                </c:pt>
                <c:pt idx="1">
                  <c:v>4451.5421086780252</c:v>
                </c:pt>
                <c:pt idx="2">
                  <c:v>5659.0984761111104</c:v>
                </c:pt>
                <c:pt idx="3">
                  <c:v>2966.1175444444443</c:v>
                </c:pt>
                <c:pt idx="4">
                  <c:v>2129.8502368421055</c:v>
                </c:pt>
                <c:pt idx="5">
                  <c:v>1853.812295263157</c:v>
                </c:pt>
                <c:pt idx="6">
                  <c:v>1700.3859999999995</c:v>
                </c:pt>
                <c:pt idx="7">
                  <c:v>1408.3859999999995</c:v>
                </c:pt>
                <c:pt idx="8">
                  <c:v>2179.7975441663284</c:v>
                </c:pt>
                <c:pt idx="9">
                  <c:v>3173.8992669783829</c:v>
                </c:pt>
                <c:pt idx="10">
                  <c:v>3354.2400311324977</c:v>
                </c:pt>
                <c:pt idx="11">
                  <c:v>3449.1818338815788</c:v>
                </c:pt>
                <c:pt idx="12">
                  <c:v>3471.7600748297582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54464"/>
        <c:axId val="632555024"/>
      </c:lineChart>
      <c:catAx>
        <c:axId val="6325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2555024"/>
        <c:crosses val="autoZero"/>
        <c:auto val="1"/>
        <c:lblAlgn val="ctr"/>
        <c:lblOffset val="100"/>
        <c:noMultiLvlLbl val="0"/>
      </c:catAx>
      <c:valAx>
        <c:axId val="6325550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255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00336133921474"/>
          <c:y val="0.64199164091485039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7634599296929097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Cálculos_capital!$CK$3</c:f>
              <c:strCache>
                <c:ptCount val="1"/>
                <c:pt idx="0">
                  <c:v>Tipos efectivos medios,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Cálculos_capital!$CK$16:$CK$28</c:f>
              <c:numCache>
                <c:formatCode>0.0</c:formatCode>
                <c:ptCount val="13"/>
                <c:pt idx="0">
                  <c:v>15</c:v>
                </c:pt>
                <c:pt idx="1">
                  <c:v>18.000000000000004</c:v>
                </c:pt>
                <c:pt idx="2">
                  <c:v>17.999999999999989</c:v>
                </c:pt>
                <c:pt idx="3">
                  <c:v>18.000000000000004</c:v>
                </c:pt>
                <c:pt idx="4">
                  <c:v>19.000000000000011</c:v>
                </c:pt>
                <c:pt idx="5">
                  <c:v>18.999999999999996</c:v>
                </c:pt>
                <c:pt idx="6">
                  <c:v>20.999998208603369</c:v>
                </c:pt>
                <c:pt idx="7">
                  <c:v>21.000000000000014</c:v>
                </c:pt>
                <c:pt idx="8">
                  <c:v>20.999999882989393</c:v>
                </c:pt>
                <c:pt idx="9">
                  <c:v>20.999999781515303</c:v>
                </c:pt>
                <c:pt idx="10">
                  <c:v>20.999999770405012</c:v>
                </c:pt>
                <c:pt idx="11">
                  <c:v>20.999999762537353</c:v>
                </c:pt>
                <c:pt idx="12">
                  <c:v>20.999999761841075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57264"/>
        <c:axId val="632557824"/>
      </c:lineChart>
      <c:catAx>
        <c:axId val="63255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2557824"/>
        <c:crosses val="autoZero"/>
        <c:auto val="1"/>
        <c:lblAlgn val="ctr"/>
        <c:lblOffset val="100"/>
        <c:noMultiLvlLbl val="0"/>
      </c:catAx>
      <c:valAx>
        <c:axId val="63255782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255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5447770575326124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Cálculos_capital!$CH$3</c:f>
              <c:strCache>
                <c:ptCount val="1"/>
                <c:pt idx="0">
                  <c:v>Tipos efectivos kmob,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Cálculos_capital!$CH$16:$CH$28</c:f>
              <c:numCache>
                <c:formatCode>0.0</c:formatCode>
                <c:ptCount val="13"/>
                <c:pt idx="0">
                  <c:v>15</c:v>
                </c:pt>
                <c:pt idx="1">
                  <c:v>18</c:v>
                </c:pt>
                <c:pt idx="2">
                  <c:v>18.000000000000004</c:v>
                </c:pt>
                <c:pt idx="3">
                  <c:v>18</c:v>
                </c:pt>
                <c:pt idx="4">
                  <c:v>18.999999999999996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60064"/>
        <c:axId val="632560624"/>
      </c:lineChart>
      <c:catAx>
        <c:axId val="6325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2560624"/>
        <c:crosses val="autoZero"/>
        <c:auto val="1"/>
        <c:lblAlgn val="ctr"/>
        <c:lblOffset val="100"/>
        <c:noMultiLvlLbl val="0"/>
      </c:catAx>
      <c:valAx>
        <c:axId val="63256062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256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759554053056118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6791703628194E-2"/>
          <c:y val="3.6607378411348361E-2"/>
          <c:w val="0.88235745060169368"/>
          <c:h val="0.73348583823957203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Cálculos_capital!$CI$3</c:f>
              <c:strCache>
                <c:ptCount val="1"/>
                <c:pt idx="0">
                  <c:v>Tipos efectivos karrend,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Cálculos_capital!$CI$16:$CI$28</c:f>
              <c:numCache>
                <c:formatCode>0.0</c:formatCode>
                <c:ptCount val="13"/>
                <c:pt idx="0">
                  <c:v>15.000000000000002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18.999999999999996</c:v>
                </c:pt>
                <c:pt idx="5">
                  <c:v>19.000000000000004</c:v>
                </c:pt>
                <c:pt idx="6">
                  <c:v>20.999992905510524</c:v>
                </c:pt>
                <c:pt idx="7">
                  <c:v>21.000000943601862</c:v>
                </c:pt>
                <c:pt idx="8">
                  <c:v>21.000000943601862</c:v>
                </c:pt>
                <c:pt idx="9">
                  <c:v>21.000000943601862</c:v>
                </c:pt>
                <c:pt idx="10">
                  <c:v>21.000000943601862</c:v>
                </c:pt>
                <c:pt idx="11">
                  <c:v>21.000000943601862</c:v>
                </c:pt>
                <c:pt idx="12">
                  <c:v>21.000000943601862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62864"/>
        <c:axId val="632563424"/>
      </c:lineChart>
      <c:catAx>
        <c:axId val="6325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2563424"/>
        <c:crosses val="autoZero"/>
        <c:auto val="1"/>
        <c:lblAlgn val="ctr"/>
        <c:lblOffset val="100"/>
        <c:noMultiLvlLbl val="0"/>
      </c:catAx>
      <c:valAx>
        <c:axId val="63256342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256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3828846781526451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4780431267940395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Cálculos_capital!$CJ$3</c:f>
              <c:strCache>
                <c:ptCount val="1"/>
                <c:pt idx="0">
                  <c:v>Tipos efectivos kganpat,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Cálculos_capital!$CJ$16:$CJ$28</c:f>
              <c:numCache>
                <c:formatCode>0.0</c:formatCode>
                <c:ptCount val="13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18.999999999999996</c:v>
                </c:pt>
                <c:pt idx="5">
                  <c:v>19.000000000000004</c:v>
                </c:pt>
                <c:pt idx="6">
                  <c:v>20.999996471389441</c:v>
                </c:pt>
                <c:pt idx="7">
                  <c:v>20.999995739804284</c:v>
                </c:pt>
                <c:pt idx="8">
                  <c:v>20.999995739804284</c:v>
                </c:pt>
                <c:pt idx="9">
                  <c:v>20.999995739804284</c:v>
                </c:pt>
                <c:pt idx="10">
                  <c:v>20.999995739804284</c:v>
                </c:pt>
                <c:pt idx="11">
                  <c:v>20.999995739804284</c:v>
                </c:pt>
                <c:pt idx="12">
                  <c:v>20.999995739804284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65664"/>
        <c:axId val="632566224"/>
      </c:lineChart>
      <c:catAx>
        <c:axId val="63256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2566224"/>
        <c:crosses val="autoZero"/>
        <c:auto val="1"/>
        <c:lblAlgn val="ctr"/>
        <c:lblOffset val="100"/>
        <c:noMultiLvlLbl val="0"/>
      </c:catAx>
      <c:valAx>
        <c:axId val="632566224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256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364186279900333"/>
          <c:y val="0.46163633196556114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821666666666673"/>
          <c:y val="3.6505555555555597E-2"/>
          <c:w val="0.78419722222222221"/>
          <c:h val="0.73516159148465143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Cálculos_IRPF!$AB$4</c:f>
              <c:strCache>
                <c:ptCount val="1"/>
                <c:pt idx="0">
                  <c:v>Ratio Devoluciones y asignación a la Iglesia - Cuota Devengada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Cálculos_IRPF!$AB$9:$AB$21</c:f>
              <c:numCache>
                <c:formatCode>#,##0.00</c:formatCode>
                <c:ptCount val="13"/>
                <c:pt idx="0">
                  <c:v>0.16652622704005726</c:v>
                </c:pt>
                <c:pt idx="1">
                  <c:v>0.17224564623144326</c:v>
                </c:pt>
                <c:pt idx="2">
                  <c:v>0.21319279202493926</c:v>
                </c:pt>
                <c:pt idx="3">
                  <c:v>0.23874587498398187</c:v>
                </c:pt>
                <c:pt idx="4">
                  <c:v>0.21110027181517468</c:v>
                </c:pt>
                <c:pt idx="5">
                  <c:v>0.18225177864426306</c:v>
                </c:pt>
                <c:pt idx="6">
                  <c:v>0.1697437245810802</c:v>
                </c:pt>
                <c:pt idx="7">
                  <c:v>0.17622442784368603</c:v>
                </c:pt>
                <c:pt idx="8">
                  <c:v>0.17607331035634308</c:v>
                </c:pt>
                <c:pt idx="9">
                  <c:v>0.17607331035634308</c:v>
                </c:pt>
                <c:pt idx="10">
                  <c:v>0.17607331035634308</c:v>
                </c:pt>
                <c:pt idx="11">
                  <c:v>0.17607331035634308</c:v>
                </c:pt>
                <c:pt idx="12">
                  <c:v>0.17607331035634308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96016"/>
        <c:axId val="626196576"/>
      </c:lineChart>
      <c:catAx>
        <c:axId val="62619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26196576"/>
        <c:crosses val="autoZero"/>
        <c:auto val="1"/>
        <c:lblAlgn val="ctr"/>
        <c:lblOffset val="100"/>
        <c:noMultiLvlLbl val="0"/>
      </c:catAx>
      <c:valAx>
        <c:axId val="62619657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crossAx val="62619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929627899303653"/>
          <c:y val="0.42295935195693135"/>
          <c:w val="0.63072045382394082"/>
          <c:h val="0.3845465329816257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Cálculos_capital!$CZ$3</c:f>
              <c:strCache>
                <c:ptCount val="1"/>
                <c:pt idx="0">
                  <c:v>Cuota Devengada Total,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Cálculos_capital!$CZ$16:$CZ$28</c:f>
              <c:numCache>
                <c:formatCode>#,##0</c:formatCode>
                <c:ptCount val="13"/>
                <c:pt idx="0">
                  <c:v>4070.6581319475108</c:v>
                </c:pt>
                <c:pt idx="1">
                  <c:v>6066.605762096704</c:v>
                </c:pt>
                <c:pt idx="2">
                  <c:v>7483.2767965583353</c:v>
                </c:pt>
                <c:pt idx="3">
                  <c:v>6861.2271595615957</c:v>
                </c:pt>
                <c:pt idx="4">
                  <c:v>5812.0350814770836</c:v>
                </c:pt>
                <c:pt idx="5">
                  <c:v>6346.704277154302</c:v>
                </c:pt>
                <c:pt idx="6">
                  <c:v>6447.4828138021485</c:v>
                </c:pt>
                <c:pt idx="7">
                  <c:v>5912.6920553814025</c:v>
                </c:pt>
                <c:pt idx="8">
                  <c:v>5862.4949190834368</c:v>
                </c:pt>
                <c:pt idx="9">
                  <c:v>6244.9068130747382</c:v>
                </c:pt>
                <c:pt idx="10">
                  <c:v>6301.6073010108821</c:v>
                </c:pt>
                <c:pt idx="11">
                  <c:v>6312.1844883926169</c:v>
                </c:pt>
                <c:pt idx="12">
                  <c:v>6314.5074349541028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568464"/>
        <c:axId val="681175216"/>
      </c:lineChart>
      <c:catAx>
        <c:axId val="6325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75216"/>
        <c:crosses val="autoZero"/>
        <c:auto val="1"/>
        <c:lblAlgn val="ctr"/>
        <c:lblOffset val="100"/>
        <c:noMultiLvlLbl val="0"/>
      </c:catAx>
      <c:valAx>
        <c:axId val="6811752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3256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Cálculos_capital!$CM$3</c:f>
              <c:strCache>
                <c:ptCount val="1"/>
                <c:pt idx="0">
                  <c:v>Kmob,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Cálculos_capital!$CM$16:$CM$28</c:f>
              <c:numCache>
                <c:formatCode>#,##0</c:formatCode>
                <c:ptCount val="13"/>
                <c:pt idx="0">
                  <c:v>2337.5452142175122</c:v>
                </c:pt>
                <c:pt idx="1">
                  <c:v>3815.8815958346599</c:v>
                </c:pt>
                <c:pt idx="2">
                  <c:v>4952.821457308336</c:v>
                </c:pt>
                <c:pt idx="3">
                  <c:v>4893.2729366715967</c:v>
                </c:pt>
                <c:pt idx="4">
                  <c:v>3957.2234076970826</c:v>
                </c:pt>
                <c:pt idx="5">
                  <c:v>4590.3017112943025</c:v>
                </c:pt>
                <c:pt idx="6">
                  <c:v>4639.9808138021481</c:v>
                </c:pt>
                <c:pt idx="7">
                  <c:v>4281.6220553814019</c:v>
                </c:pt>
                <c:pt idx="8">
                  <c:v>4065.0173632647657</c:v>
                </c:pt>
                <c:pt idx="9">
                  <c:v>4015.1395959660176</c:v>
                </c:pt>
                <c:pt idx="10">
                  <c:v>3950.3110360569567</c:v>
                </c:pt>
                <c:pt idx="11">
                  <c:v>3906.1388630230645</c:v>
                </c:pt>
                <c:pt idx="12">
                  <c:v>3887.5576563235663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77456"/>
        <c:axId val="681178016"/>
      </c:lineChart>
      <c:catAx>
        <c:axId val="68117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78016"/>
        <c:crosses val="autoZero"/>
        <c:auto val="1"/>
        <c:lblAlgn val="ctr"/>
        <c:lblOffset val="100"/>
        <c:noMultiLvlLbl val="0"/>
      </c:catAx>
      <c:valAx>
        <c:axId val="681178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8117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04791532286776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Cálculos_capital!$CN$3</c:f>
              <c:strCache>
                <c:ptCount val="1"/>
                <c:pt idx="0">
                  <c:v>Karrend,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Cálculos_capital!$CN$16:$CN$28</c:f>
              <c:numCache>
                <c:formatCode>#,##0</c:formatCode>
                <c:ptCount val="13"/>
                <c:pt idx="0">
                  <c:v>1136.8321157299993</c:v>
                </c:pt>
                <c:pt idx="1">
                  <c:v>1449.4465866999997</c:v>
                </c:pt>
                <c:pt idx="2">
                  <c:v>1511.81761355</c:v>
                </c:pt>
                <c:pt idx="3">
                  <c:v>1434.0530648899992</c:v>
                </c:pt>
                <c:pt idx="4">
                  <c:v>1450.1401287800004</c:v>
                </c:pt>
                <c:pt idx="5">
                  <c:v>1404.1782297599993</c:v>
                </c:pt>
                <c:pt idx="6">
                  <c:v>1450.421</c:v>
                </c:pt>
                <c:pt idx="7">
                  <c:v>1335.3090000000009</c:v>
                </c:pt>
                <c:pt idx="8">
                  <c:v>1339.7201644073839</c:v>
                </c:pt>
                <c:pt idx="9">
                  <c:v>1563.2485062575804</c:v>
                </c:pt>
                <c:pt idx="10">
                  <c:v>1646.9060013132905</c:v>
                </c:pt>
                <c:pt idx="11">
                  <c:v>1681.7175871963173</c:v>
                </c:pt>
                <c:pt idx="12">
                  <c:v>1697.8803108200614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80256"/>
        <c:axId val="681180816"/>
      </c:lineChart>
      <c:catAx>
        <c:axId val="6811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80816"/>
        <c:crosses val="autoZero"/>
        <c:auto val="1"/>
        <c:lblAlgn val="ctr"/>
        <c:lblOffset val="100"/>
        <c:noMultiLvlLbl val="0"/>
      </c:catAx>
      <c:valAx>
        <c:axId val="681180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8118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99423105079008"/>
          <c:y val="0.54754748209063253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Cálculos_capital!$CO$3</c:f>
              <c:strCache>
                <c:ptCount val="1"/>
                <c:pt idx="0">
                  <c:v>Kganpat, M€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Cálculos_capital!$CO$16:$CO$28</c:f>
              <c:numCache>
                <c:formatCode>#,##0</c:formatCode>
                <c:ptCount val="13"/>
                <c:pt idx="0">
                  <c:v>596.28080199999954</c:v>
                </c:pt>
                <c:pt idx="1">
                  <c:v>801.27757956204459</c:v>
                </c:pt>
                <c:pt idx="2">
                  <c:v>1018.6377256999999</c:v>
                </c:pt>
                <c:pt idx="3">
                  <c:v>533.90115800000001</c:v>
                </c:pt>
                <c:pt idx="4">
                  <c:v>404.67154499999998</c:v>
                </c:pt>
                <c:pt idx="5">
                  <c:v>352.2243360999999</c:v>
                </c:pt>
                <c:pt idx="6">
                  <c:v>357.08099999999996</c:v>
                </c:pt>
                <c:pt idx="7">
                  <c:v>295.76099999999985</c:v>
                </c:pt>
                <c:pt idx="8">
                  <c:v>457.75739141128741</c:v>
                </c:pt>
                <c:pt idx="9">
                  <c:v>666.51871085113976</c:v>
                </c:pt>
                <c:pt idx="10">
                  <c:v>704.39026364063432</c:v>
                </c:pt>
                <c:pt idx="11">
                  <c:v>724.32803817323486</c:v>
                </c:pt>
                <c:pt idx="12">
                  <c:v>729.0694678104752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83056"/>
        <c:axId val="681183616"/>
      </c:lineChart>
      <c:catAx>
        <c:axId val="68118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83616"/>
        <c:crosses val="autoZero"/>
        <c:auto val="1"/>
        <c:lblAlgn val="ctr"/>
        <c:lblOffset val="100"/>
        <c:noMultiLvlLbl val="0"/>
      </c:catAx>
      <c:valAx>
        <c:axId val="6811836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8118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33426946821427"/>
          <c:y val="0.1207247427097291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9617519976673"/>
          <c:y val="3.6300301725599213E-2"/>
          <c:w val="0.88235745060169368"/>
          <c:h val="0.77820388888888981"/>
        </c:manualLayout>
      </c:layout>
      <c:lineChart>
        <c:grouping val="standard"/>
        <c:varyColors val="0"/>
        <c:ser>
          <c:idx val="0"/>
          <c:order val="0"/>
          <c:tx>
            <c:strRef>
              <c:f>Resultados_actividad_eco!$D$4</c:f>
              <c:strCache>
                <c:ptCount val="1"/>
                <c:pt idx="0">
                  <c:v>FBCF, %</c:v>
                </c:pt>
              </c:strCache>
            </c:strRef>
          </c:tx>
          <c:marker>
            <c:symbol val="none"/>
          </c:marker>
          <c:cat>
            <c:numRef>
              <c:f>Cálculos_actividad_eco!$A$16:$A$28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Cálculos_actividad_eco!$AK$16:$AK$28</c:f>
              <c:numCache>
                <c:formatCode>0.0</c:formatCode>
                <c:ptCount val="13"/>
                <c:pt idx="0">
                  <c:v>6.5942562598018784</c:v>
                </c:pt>
                <c:pt idx="1">
                  <c:v>1.4622547521982998</c:v>
                </c:pt>
                <c:pt idx="2">
                  <c:v>-24.889921831909135</c:v>
                </c:pt>
                <c:pt idx="3">
                  <c:v>-25.501724189907193</c:v>
                </c:pt>
                <c:pt idx="4">
                  <c:v>-4.7264552156832007</c:v>
                </c:pt>
                <c:pt idx="5">
                  <c:v>-8.2148765072397651</c:v>
                </c:pt>
                <c:pt idx="6">
                  <c:v>-11.247537399120366</c:v>
                </c:pt>
                <c:pt idx="7">
                  <c:v>-8.1185411970293941</c:v>
                </c:pt>
                <c:pt idx="8">
                  <c:v>0.30734592127851279</c:v>
                </c:pt>
                <c:pt idx="9">
                  <c:v>-0.77617434692725018</c:v>
                </c:pt>
                <c:pt idx="10">
                  <c:v>-2.0078188654467559</c:v>
                </c:pt>
                <c:pt idx="11">
                  <c:v>-3.1726130004276509</c:v>
                </c:pt>
                <c:pt idx="12">
                  <c:v>-4.3511450908274565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85856"/>
        <c:axId val="681186416"/>
      </c:lineChart>
      <c:catAx>
        <c:axId val="6811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86416"/>
        <c:crosses val="autoZero"/>
        <c:auto val="1"/>
        <c:lblAlgn val="ctr"/>
        <c:lblOffset val="100"/>
        <c:noMultiLvlLbl val="0"/>
      </c:catAx>
      <c:valAx>
        <c:axId val="68118641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811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600527777777808"/>
          <c:y val="1.8489444444444444E-2"/>
          <c:w val="0.565532777777777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Cálculos_actividad_eco!$BX$3</c:f>
              <c:strCache>
                <c:ptCount val="1"/>
                <c:pt idx="0">
                  <c:v>Cuota Devengada Total, M€</c:v>
                </c:pt>
              </c:strCache>
            </c:strRef>
          </c:tx>
          <c:marker>
            <c:symbol val="none"/>
          </c:marker>
          <c:cat>
            <c:numRef>
              <c:f>Cálculos_actividad_eco!$A$13:$A$28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Cálculos_actividad_eco!$BX$13:$BX$28</c:f>
              <c:numCache>
                <c:formatCode>#,##0</c:formatCode>
                <c:ptCount val="16"/>
                <c:pt idx="0">
                  <c:v>5428.0627820069085</c:v>
                </c:pt>
                <c:pt idx="1">
                  <c:v>5769.2150783929483</c:v>
                </c:pt>
                <c:pt idx="2">
                  <c:v>6110.1905896291582</c:v>
                </c:pt>
                <c:pt idx="3">
                  <c:v>6505.8155164712216</c:v>
                </c:pt>
                <c:pt idx="4">
                  <c:v>6854.3107865435159</c:v>
                </c:pt>
                <c:pt idx="5">
                  <c:v>6054.4301821300596</c:v>
                </c:pt>
                <c:pt idx="6">
                  <c:v>5390.0668455100249</c:v>
                </c:pt>
                <c:pt idx="7">
                  <c:v>5440.0901992399768</c:v>
                </c:pt>
                <c:pt idx="8">
                  <c:v>5131.2806620200463</c:v>
                </c:pt>
                <c:pt idx="9">
                  <c:v>5182.2624180999965</c:v>
                </c:pt>
                <c:pt idx="10">
                  <c:v>5561.9345999999978</c:v>
                </c:pt>
                <c:pt idx="11">
                  <c:v>5533.2590710525237</c:v>
                </c:pt>
                <c:pt idx="12">
                  <c:v>5581.028718893629</c:v>
                </c:pt>
                <c:pt idx="13">
                  <c:v>5612.2802513530396</c:v>
                </c:pt>
                <c:pt idx="14">
                  <c:v>5624.5194380412622</c:v>
                </c:pt>
                <c:pt idx="15">
                  <c:v>5614.3696937415016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88656"/>
        <c:axId val="681189216"/>
      </c:lineChart>
      <c:catAx>
        <c:axId val="68118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1189216"/>
        <c:crosses val="autoZero"/>
        <c:auto val="1"/>
        <c:lblAlgn val="ctr"/>
        <c:lblOffset val="100"/>
        <c:noMultiLvlLbl val="0"/>
      </c:catAx>
      <c:valAx>
        <c:axId val="681189216"/>
        <c:scaling>
          <c:orientation val="minMax"/>
          <c:min val="4000"/>
        </c:scaling>
        <c:delete val="0"/>
        <c:axPos val="l"/>
        <c:numFmt formatCode="0" sourceLinked="0"/>
        <c:majorTickMark val="none"/>
        <c:minorTickMark val="none"/>
        <c:tickLblPos val="nextTo"/>
        <c:crossAx val="68118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291442751886279E-2"/>
          <c:y val="0.6168106474346664"/>
          <c:w val="0.51483932217220085"/>
          <c:h val="0.172031111111111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075252133436774"/>
          <c:y val="3.2229698448359601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Resultados_actividad_eco!$C$4</c:f>
              <c:strCache>
                <c:ptCount val="1"/>
                <c:pt idx="0">
                  <c:v>EETC ocupado, %</c:v>
                </c:pt>
              </c:strCache>
            </c:strRef>
          </c:tx>
          <c:marker>
            <c:symbol val="none"/>
          </c:marker>
          <c:cat>
            <c:numRef>
              <c:f>Cálculos_capital!$A$16:$A$28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Cálculos_capital!$BI$16:$BI$28</c:f>
              <c:numCache>
                <c:formatCode>0.0</c:formatCode>
                <c:ptCount val="13"/>
                <c:pt idx="0">
                  <c:v>17.181819968167254</c:v>
                </c:pt>
                <c:pt idx="1">
                  <c:v>19.384589586652123</c:v>
                </c:pt>
                <c:pt idx="2">
                  <c:v>12.210127115668246</c:v>
                </c:pt>
                <c:pt idx="3">
                  <c:v>-27.159272982175043</c:v>
                </c:pt>
                <c:pt idx="4">
                  <c:v>-13.866405457888675</c:v>
                </c:pt>
                <c:pt idx="5">
                  <c:v>18.861976776664946</c:v>
                </c:pt>
                <c:pt idx="6">
                  <c:v>-3.7212971666442884</c:v>
                </c:pt>
                <c:pt idx="7">
                  <c:v>-3.0701372060182308</c:v>
                </c:pt>
                <c:pt idx="8">
                  <c:v>-0.44896576347156203</c:v>
                </c:pt>
                <c:pt idx="9">
                  <c:v>2.9053941601327162</c:v>
                </c:pt>
                <c:pt idx="10">
                  <c:v>-1.0837514940003412</c:v>
                </c:pt>
                <c:pt idx="11">
                  <c:v>-0.4243650758393544</c:v>
                </c:pt>
                <c:pt idx="12">
                  <c:v>0.23707795670536469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487088"/>
        <c:axId val="682487648"/>
      </c:lineChart>
      <c:catAx>
        <c:axId val="68248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2487648"/>
        <c:crosses val="autoZero"/>
        <c:auto val="1"/>
        <c:lblAlgn val="ctr"/>
        <c:lblOffset val="100"/>
        <c:noMultiLvlLbl val="0"/>
      </c:catAx>
      <c:valAx>
        <c:axId val="682487648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crossAx val="68248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301918207360643"/>
          <c:y val="6.7878333333333443E-2"/>
          <c:w val="0.47449143448771519"/>
          <c:h val="0.2705733656366894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Cálculos_actividad_eco!$AN$3</c:f>
              <c:strCache>
                <c:ptCount val="1"/>
                <c:pt idx="0">
                  <c:v>Base Actividades Profesionales, M€</c:v>
                </c:pt>
              </c:strCache>
            </c:strRef>
          </c:tx>
          <c:marker>
            <c:symbol val="none"/>
          </c:marker>
          <c:cat>
            <c:numRef>
              <c:f>Cálculos_actividad_eco!$A$16:$A$28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Cálculos_actividad_eco!$AN$16:$AN$28</c:f>
              <c:numCache>
                <c:formatCode>#,##0</c:formatCode>
                <c:ptCount val="13"/>
                <c:pt idx="0">
                  <c:v>55092.129278210021</c:v>
                </c:pt>
                <c:pt idx="1">
                  <c:v>57447.304338430047</c:v>
                </c:pt>
                <c:pt idx="2">
                  <c:v>52733.16723843004</c:v>
                </c:pt>
                <c:pt idx="3">
                  <c:v>47019.447992939975</c:v>
                </c:pt>
                <c:pt idx="4">
                  <c:v>45740.243273839958</c:v>
                </c:pt>
                <c:pt idx="5">
                  <c:v>43431.890721659984</c:v>
                </c:pt>
                <c:pt idx="6">
                  <c:v>41459.620954109996</c:v>
                </c:pt>
                <c:pt idx="7">
                  <c:v>41332.445816972322</c:v>
                </c:pt>
                <c:pt idx="8">
                  <c:v>41021.753886081206</c:v>
                </c:pt>
                <c:pt idx="9">
                  <c:v>41374.524659325092</c:v>
                </c:pt>
                <c:pt idx="10">
                  <c:v>41614.10850786946</c:v>
                </c:pt>
                <c:pt idx="11">
                  <c:v>41710.644097483433</c:v>
                </c:pt>
                <c:pt idx="12">
                  <c:v>41654.378277225485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489888"/>
        <c:axId val="682490448"/>
      </c:lineChart>
      <c:catAx>
        <c:axId val="6824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2490448"/>
        <c:crosses val="autoZero"/>
        <c:auto val="1"/>
        <c:lblAlgn val="ctr"/>
        <c:lblOffset val="100"/>
        <c:noMultiLvlLbl val="0"/>
      </c:catAx>
      <c:valAx>
        <c:axId val="68249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8248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77634599296929097"/>
        </c:manualLayout>
      </c:layout>
      <c:lineChart>
        <c:grouping val="standard"/>
        <c:varyColors val="0"/>
        <c:ser>
          <c:idx val="0"/>
          <c:order val="0"/>
          <c:tx>
            <c:strRef>
              <c:f>Cálculos_actividad_eco!$BF$3</c:f>
              <c:strCache>
                <c:ptCount val="1"/>
                <c:pt idx="0">
                  <c:v>Tipos efectivos medios, %</c:v>
                </c:pt>
              </c:strCache>
            </c:strRef>
          </c:tx>
          <c:marker>
            <c:symbol val="none"/>
          </c:marker>
          <c:cat>
            <c:numRef>
              <c:f>Cálculos_actividad_eco!$A$16:$A$28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Cálculos_actividad_eco!$BF$16:$BF$28</c:f>
              <c:numCache>
                <c:formatCode>0.00</c:formatCode>
                <c:ptCount val="13"/>
                <c:pt idx="0">
                  <c:v>11.214232409265042</c:v>
                </c:pt>
                <c:pt idx="1">
                  <c:v>11.064478038669975</c:v>
                </c:pt>
                <c:pt idx="2">
                  <c:v>10.450992588936861</c:v>
                </c:pt>
                <c:pt idx="3">
                  <c:v>10.533856758045504</c:v>
                </c:pt>
                <c:pt idx="4">
                  <c:v>10.901328333887081</c:v>
                </c:pt>
                <c:pt idx="5">
                  <c:v>10.750878956488439</c:v>
                </c:pt>
                <c:pt idx="6">
                  <c:v>11.342557191502294</c:v>
                </c:pt>
                <c:pt idx="7">
                  <c:v>12.353274767745198</c:v>
                </c:pt>
                <c:pt idx="8">
                  <c:v>12.372809762823573</c:v>
                </c:pt>
                <c:pt idx="9">
                  <c:v>12.372809762823573</c:v>
                </c:pt>
                <c:pt idx="10">
                  <c:v>12.372809762823573</c:v>
                </c:pt>
                <c:pt idx="11">
                  <c:v>12.372809762823573</c:v>
                </c:pt>
                <c:pt idx="12">
                  <c:v>12.372809762823573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492688"/>
        <c:axId val="682493248"/>
      </c:lineChart>
      <c:catAx>
        <c:axId val="68249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2493248"/>
        <c:crosses val="autoZero"/>
        <c:auto val="1"/>
        <c:lblAlgn val="ctr"/>
        <c:lblOffset val="100"/>
        <c:noMultiLvlLbl val="0"/>
      </c:catAx>
      <c:valAx>
        <c:axId val="6824932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8249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788767800084458"/>
          <c:y val="0.54854015201539175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Cálculos_actividad_eco!$BX$3</c:f>
              <c:strCache>
                <c:ptCount val="1"/>
                <c:pt idx="0">
                  <c:v>Cuota Devengada Total, M€</c:v>
                </c:pt>
              </c:strCache>
            </c:strRef>
          </c:tx>
          <c:marker>
            <c:symbol val="none"/>
          </c:marker>
          <c:cat>
            <c:numRef>
              <c:f>Cálculos_actividad_eco!$A$16:$A$28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Cálculos_actividad_eco!$BX$16:$BX$28</c:f>
              <c:numCache>
                <c:formatCode>#,##0</c:formatCode>
                <c:ptCount val="13"/>
                <c:pt idx="0">
                  <c:v>6505.8155164712216</c:v>
                </c:pt>
                <c:pt idx="1">
                  <c:v>6854.3107865435159</c:v>
                </c:pt>
                <c:pt idx="2">
                  <c:v>6054.4301821300596</c:v>
                </c:pt>
                <c:pt idx="3">
                  <c:v>5390.0668455100249</c:v>
                </c:pt>
                <c:pt idx="4">
                  <c:v>5440.0901992399768</c:v>
                </c:pt>
                <c:pt idx="5">
                  <c:v>5131.2806620200463</c:v>
                </c:pt>
                <c:pt idx="6">
                  <c:v>5182.2624180999965</c:v>
                </c:pt>
                <c:pt idx="7">
                  <c:v>5561.9345999999978</c:v>
                </c:pt>
                <c:pt idx="8">
                  <c:v>5533.2590710525237</c:v>
                </c:pt>
                <c:pt idx="9">
                  <c:v>5581.028718893629</c:v>
                </c:pt>
                <c:pt idx="10">
                  <c:v>5612.2802513530396</c:v>
                </c:pt>
                <c:pt idx="11">
                  <c:v>5624.5194380412622</c:v>
                </c:pt>
                <c:pt idx="12">
                  <c:v>5614.3696937415016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495488"/>
        <c:axId val="682496048"/>
      </c:lineChart>
      <c:catAx>
        <c:axId val="6824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82496048"/>
        <c:crosses val="autoZero"/>
        <c:auto val="1"/>
        <c:lblAlgn val="ctr"/>
        <c:lblOffset val="100"/>
        <c:noMultiLvlLbl val="0"/>
      </c:catAx>
      <c:valAx>
        <c:axId val="682496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68249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62799580659"/>
          <c:y val="0.59827303404650256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4875944444444529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Cálculos_IRPF!$AC$4</c:f>
              <c:strCache>
                <c:ptCount val="1"/>
                <c:pt idx="0">
                  <c:v>IRPF total, neto de devoluciones, M€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Cálculos_IRPF!$AC$9:$AC$21</c:f>
              <c:numCache>
                <c:formatCode>#,##0</c:formatCode>
                <c:ptCount val="13"/>
                <c:pt idx="0">
                  <c:v>62813.058999999994</c:v>
                </c:pt>
                <c:pt idx="1">
                  <c:v>72614.266000000003</c:v>
                </c:pt>
                <c:pt idx="2">
                  <c:v>71341.144000000015</c:v>
                </c:pt>
                <c:pt idx="3">
                  <c:v>63856.923999999999</c:v>
                </c:pt>
                <c:pt idx="4">
                  <c:v>66977.058000000005</c:v>
                </c:pt>
                <c:pt idx="5">
                  <c:v>69803.319000000018</c:v>
                </c:pt>
                <c:pt idx="6">
                  <c:v>70618.603000000003</c:v>
                </c:pt>
                <c:pt idx="7">
                  <c:v>69951.475000000006</c:v>
                </c:pt>
                <c:pt idx="8">
                  <c:v>74915.395524164574</c:v>
                </c:pt>
                <c:pt idx="9">
                  <c:v>77026.216136124058</c:v>
                </c:pt>
                <c:pt idx="10">
                  <c:v>78609.198104641066</c:v>
                </c:pt>
                <c:pt idx="11">
                  <c:v>80080.784392109606</c:v>
                </c:pt>
                <c:pt idx="12">
                  <c:v>81419.373273596444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198816"/>
        <c:axId val="626199376"/>
      </c:lineChart>
      <c:catAx>
        <c:axId val="6261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26199376"/>
        <c:crosses val="autoZero"/>
        <c:auto val="1"/>
        <c:lblAlgn val="ctr"/>
        <c:lblOffset val="100"/>
        <c:noMultiLvlLbl val="0"/>
      </c:catAx>
      <c:valAx>
        <c:axId val="626199376"/>
        <c:scaling>
          <c:orientation val="minMax"/>
          <c:min val="30000"/>
        </c:scaling>
        <c:delete val="0"/>
        <c:axPos val="l"/>
        <c:numFmt formatCode="#,##0" sourceLinked="0"/>
        <c:majorTickMark val="none"/>
        <c:minorTickMark val="none"/>
        <c:tickLblPos val="nextTo"/>
        <c:crossAx val="62619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207471218954063"/>
          <c:y val="0.54681561821150204"/>
          <c:w val="0.59524651214804358"/>
          <c:h val="0.198058292817853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Cálculos_IRPF!$R$4</c:f>
              <c:strCache>
                <c:ptCount val="1"/>
                <c:pt idx="0">
                  <c:v>Total sin cuota diferencial, M€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Cálculos_IRPF!$R$9:$R$21</c:f>
              <c:numCache>
                <c:formatCode>#,##0</c:formatCode>
                <c:ptCount val="13"/>
                <c:pt idx="0">
                  <c:v>64816.465619588729</c:v>
                </c:pt>
                <c:pt idx="1">
                  <c:v>71603.06531363017</c:v>
                </c:pt>
                <c:pt idx="2">
                  <c:v>72690.960626118365</c:v>
                </c:pt>
                <c:pt idx="3">
                  <c:v>70560.898507301579</c:v>
                </c:pt>
                <c:pt idx="4">
                  <c:v>73298.760540807067</c:v>
                </c:pt>
                <c:pt idx="5">
                  <c:v>73890.201424364321</c:v>
                </c:pt>
                <c:pt idx="6">
                  <c:v>73745.331813802186</c:v>
                </c:pt>
                <c:pt idx="7">
                  <c:v>73766.042055381346</c:v>
                </c:pt>
                <c:pt idx="8">
                  <c:v>78328.226263964345</c:v>
                </c:pt>
                <c:pt idx="9">
                  <c:v>80535.206996554523</c:v>
                </c:pt>
                <c:pt idx="10">
                  <c:v>82190.302974280232</c:v>
                </c:pt>
                <c:pt idx="11">
                  <c:v>83728.928551643738</c:v>
                </c:pt>
                <c:pt idx="12">
                  <c:v>85128.497919861358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13232"/>
        <c:axId val="630113792"/>
      </c:lineChart>
      <c:catAx>
        <c:axId val="63011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113792"/>
        <c:crosses val="autoZero"/>
        <c:auto val="1"/>
        <c:lblAlgn val="ctr"/>
        <c:lblOffset val="100"/>
        <c:noMultiLvlLbl val="0"/>
      </c:catAx>
      <c:valAx>
        <c:axId val="630113792"/>
        <c:scaling>
          <c:orientation val="minMax"/>
          <c:min val="30000"/>
        </c:scaling>
        <c:delete val="0"/>
        <c:axPos val="l"/>
        <c:numFmt formatCode="#,##0" sourceLinked="0"/>
        <c:majorTickMark val="none"/>
        <c:minorTickMark val="none"/>
        <c:tickLblPos val="nextTo"/>
        <c:crossAx val="63011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3752051678025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Cálculos_IRPF!$U$4</c:f>
              <c:strCache>
                <c:ptCount val="1"/>
                <c:pt idx="0">
                  <c:v>Total, M€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Cálculos_IRPF!$U$9:$U$21</c:f>
              <c:numCache>
                <c:formatCode>#,##0</c:formatCode>
                <c:ptCount val="13"/>
                <c:pt idx="0">
                  <c:v>64635.536343538719</c:v>
                </c:pt>
                <c:pt idx="1">
                  <c:v>67905.455121250154</c:v>
                </c:pt>
                <c:pt idx="2">
                  <c:v>64812.763455828368</c:v>
                </c:pt>
                <c:pt idx="3">
                  <c:v>62832.113857491582</c:v>
                </c:pt>
                <c:pt idx="4">
                  <c:v>66910.629145787068</c:v>
                </c:pt>
                <c:pt idx="5">
                  <c:v>68383.930695824325</c:v>
                </c:pt>
                <c:pt idx="6">
                  <c:v>69038.88805858219</c:v>
                </c:pt>
                <c:pt idx="7">
                  <c:v>69339.342731977595</c:v>
                </c:pt>
                <c:pt idx="8">
                  <c:v>73627.750319412691</c:v>
                </c:pt>
                <c:pt idx="9">
                  <c:v>75702.290163980317</c:v>
                </c:pt>
                <c:pt idx="10">
                  <c:v>77258.06385138625</c:v>
                </c:pt>
                <c:pt idx="11">
                  <c:v>78704.35652579728</c:v>
                </c:pt>
                <c:pt idx="12">
                  <c:v>80019.937752551457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16032"/>
        <c:axId val="630116592"/>
      </c:lineChart>
      <c:catAx>
        <c:axId val="6301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116592"/>
        <c:crosses val="autoZero"/>
        <c:auto val="1"/>
        <c:lblAlgn val="ctr"/>
        <c:lblOffset val="100"/>
        <c:noMultiLvlLbl val="0"/>
      </c:catAx>
      <c:valAx>
        <c:axId val="630116592"/>
        <c:scaling>
          <c:orientation val="minMax"/>
          <c:min val="20000"/>
        </c:scaling>
        <c:delete val="0"/>
        <c:axPos val="l"/>
        <c:numFmt formatCode="#,##0" sourceLinked="0"/>
        <c:majorTickMark val="none"/>
        <c:minorTickMark val="none"/>
        <c:tickLblPos val="nextTo"/>
        <c:crossAx val="63011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304791532286776"/>
          <c:y val="0.54038824487071657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Cálculos_IRPF!$S$4</c:f>
              <c:strCache>
                <c:ptCount val="1"/>
                <c:pt idx="0">
                  <c:v>t.impositivo medio efectivo Total sin cuota diferencial, %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Cálculos_IRPF!$S$9:$S$21</c:f>
              <c:numCache>
                <c:formatCode>#,##0.0</c:formatCode>
                <c:ptCount val="13"/>
                <c:pt idx="0">
                  <c:v>11.959127465735826</c:v>
                </c:pt>
                <c:pt idx="1">
                  <c:v>12.509440815002437</c:v>
                </c:pt>
                <c:pt idx="2">
                  <c:v>12.183109109584658</c:v>
                </c:pt>
                <c:pt idx="3">
                  <c:v>12.035902539490596</c:v>
                </c:pt>
                <c:pt idx="4">
                  <c:v>12.773119745042738</c:v>
                </c:pt>
                <c:pt idx="5">
                  <c:v>12.823431234912587</c:v>
                </c:pt>
                <c:pt idx="6">
                  <c:v>13.38264052395056</c:v>
                </c:pt>
                <c:pt idx="7">
                  <c:v>13.581860572488221</c:v>
                </c:pt>
                <c:pt idx="8">
                  <c:v>13.581860572488221</c:v>
                </c:pt>
                <c:pt idx="9">
                  <c:v>13.581860572488221</c:v>
                </c:pt>
                <c:pt idx="10">
                  <c:v>13.581860572488221</c:v>
                </c:pt>
                <c:pt idx="11">
                  <c:v>13.581860572488221</c:v>
                </c:pt>
                <c:pt idx="12">
                  <c:v>13.581860572488221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18832"/>
        <c:axId val="630119392"/>
      </c:lineChart>
      <c:catAx>
        <c:axId val="63011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119392"/>
        <c:crosses val="autoZero"/>
        <c:auto val="1"/>
        <c:lblAlgn val="ctr"/>
        <c:lblOffset val="100"/>
        <c:noMultiLvlLbl val="0"/>
      </c:catAx>
      <c:valAx>
        <c:axId val="6301193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011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6956542199578"/>
          <c:y val="0.59012736557826928"/>
          <c:w val="0.84127911292274893"/>
          <c:h val="0.1836488369013166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87010350121216E-2"/>
          <c:y val="5.0925925925925923E-2"/>
          <c:w val="0.8823574506016936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Cálculos_IRPF!$V$4</c:f>
              <c:strCache>
                <c:ptCount val="1"/>
                <c:pt idx="0">
                  <c:v>tipo efectivo Total , %</c:v>
                </c:pt>
              </c:strCache>
            </c:strRef>
          </c:tx>
          <c:marker>
            <c:symbol val="none"/>
          </c:marker>
          <c:cat>
            <c:numRef>
              <c:f>Cálculos_IRPF!$D$9:$D$21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Cálculos_IRPF!$V$9:$V$21</c:f>
              <c:numCache>
                <c:formatCode>0.0</c:formatCode>
                <c:ptCount val="13"/>
                <c:pt idx="0">
                  <c:v>11.925744647745336</c:v>
                </c:pt>
                <c:pt idx="1">
                  <c:v>11.863448417108231</c:v>
                </c:pt>
                <c:pt idx="2">
                  <c:v>10.862711980619249</c:v>
                </c:pt>
                <c:pt idx="3">
                  <c:v>10.717567586822749</c:v>
                </c:pt>
                <c:pt idx="4">
                  <c:v>11.659917193544874</c:v>
                </c:pt>
                <c:pt idx="5">
                  <c:v>11.867833839221062</c:v>
                </c:pt>
                <c:pt idx="6">
                  <c:v>12.528557378981741</c:v>
                </c:pt>
                <c:pt idx="7">
                  <c:v>12.76681327793961</c:v>
                </c:pt>
                <c:pt idx="8" formatCode="#,##0.0">
                  <c:v>12.76681327793961</c:v>
                </c:pt>
                <c:pt idx="9" formatCode="#,##0.0">
                  <c:v>12.76681327793961</c:v>
                </c:pt>
                <c:pt idx="10" formatCode="#,##0.0">
                  <c:v>12.76681327793961</c:v>
                </c:pt>
                <c:pt idx="11" formatCode="#,##0.0">
                  <c:v>12.76681327793961</c:v>
                </c:pt>
                <c:pt idx="12" formatCode="#,##0.0">
                  <c:v>12.76681327793961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21632"/>
        <c:axId val="630122192"/>
      </c:lineChart>
      <c:catAx>
        <c:axId val="6301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630122192"/>
        <c:crosses val="autoZero"/>
        <c:auto val="1"/>
        <c:lblAlgn val="ctr"/>
        <c:lblOffset val="100"/>
        <c:noMultiLvlLbl val="0"/>
      </c:catAx>
      <c:valAx>
        <c:axId val="6301221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crossAx val="63012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124717651807413"/>
          <c:y val="0.61812979401108792"/>
          <c:w val="0.58116803203450762"/>
          <c:h val="0.1623588888888888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6</xdr:row>
      <xdr:rowOff>38100</xdr:rowOff>
    </xdr:from>
    <xdr:to>
      <xdr:col>1</xdr:col>
      <xdr:colOff>2278380</xdr:colOff>
      <xdr:row>7</xdr:row>
      <xdr:rowOff>15240</xdr:rowOff>
    </xdr:to>
    <xdr:sp macro="" textlink="">
      <xdr:nvSpPr>
        <xdr:cNvPr id="2" name="1 Elipse"/>
        <xdr:cNvSpPr/>
      </xdr:nvSpPr>
      <xdr:spPr>
        <a:xfrm>
          <a:off x="274320" y="998220"/>
          <a:ext cx="2301240" cy="2133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2255520</xdr:colOff>
      <xdr:row>6</xdr:row>
      <xdr:rowOff>160020</xdr:rowOff>
    </xdr:from>
    <xdr:to>
      <xdr:col>1</xdr:col>
      <xdr:colOff>2674620</xdr:colOff>
      <xdr:row>6</xdr:row>
      <xdr:rowOff>160020</xdr:rowOff>
    </xdr:to>
    <xdr:cxnSp macro="">
      <xdr:nvCxnSpPr>
        <xdr:cNvPr id="4" name="3 Conector recto de flecha"/>
        <xdr:cNvCxnSpPr/>
      </xdr:nvCxnSpPr>
      <xdr:spPr>
        <a:xfrm flipH="1">
          <a:off x="2552700" y="1120140"/>
          <a:ext cx="419100" cy="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25</xdr:row>
      <xdr:rowOff>0</xdr:rowOff>
    </xdr:from>
    <xdr:to>
      <xdr:col>56</xdr:col>
      <xdr:colOff>552000</xdr:colOff>
      <xdr:row>26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744454</xdr:colOff>
      <xdr:row>14</xdr:row>
      <xdr:rowOff>68679</xdr:rowOff>
    </xdr:from>
    <xdr:to>
      <xdr:col>10</xdr:col>
      <xdr:colOff>729916</xdr:colOff>
      <xdr:row>28</xdr:row>
      <xdr:rowOff>43889</xdr:rowOff>
    </xdr:to>
    <xdr:graphicFrame macro="">
      <xdr:nvGraphicFramePr>
        <xdr:cNvPr id="2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641682</xdr:colOff>
      <xdr:row>29</xdr:row>
      <xdr:rowOff>87229</xdr:rowOff>
    </xdr:from>
    <xdr:to>
      <xdr:col>11</xdr:col>
      <xdr:colOff>24062</xdr:colOff>
      <xdr:row>43</xdr:row>
      <xdr:rowOff>88230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280236</xdr:colOff>
      <xdr:row>29</xdr:row>
      <xdr:rowOff>39605</xdr:rowOff>
    </xdr:from>
    <xdr:to>
      <xdr:col>14</xdr:col>
      <xdr:colOff>615447</xdr:colOff>
      <xdr:row>43</xdr:row>
      <xdr:rowOff>14815</xdr:rowOff>
    </xdr:to>
    <xdr:graphicFrame macro="">
      <xdr:nvGraphicFramePr>
        <xdr:cNvPr id="2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178468</xdr:colOff>
      <xdr:row>14</xdr:row>
      <xdr:rowOff>50131</xdr:rowOff>
    </xdr:from>
    <xdr:to>
      <xdr:col>14</xdr:col>
      <xdr:colOff>513679</xdr:colOff>
      <xdr:row>28</xdr:row>
      <xdr:rowOff>15315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118813</xdr:colOff>
      <xdr:row>14</xdr:row>
      <xdr:rowOff>26569</xdr:rowOff>
    </xdr:from>
    <xdr:to>
      <xdr:col>3</xdr:col>
      <xdr:colOff>784892</xdr:colOff>
      <xdr:row>28</xdr:row>
      <xdr:rowOff>3785</xdr:rowOff>
    </xdr:to>
    <xdr:graphicFrame macro="">
      <xdr:nvGraphicFramePr>
        <xdr:cNvPr id="2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168443</xdr:colOff>
      <xdr:row>14</xdr:row>
      <xdr:rowOff>64169</xdr:rowOff>
    </xdr:from>
    <xdr:to>
      <xdr:col>7</xdr:col>
      <xdr:colOff>16374</xdr:colOff>
      <xdr:row>28</xdr:row>
      <xdr:rowOff>41385</xdr:rowOff>
    </xdr:to>
    <xdr:graphicFrame macro="">
      <xdr:nvGraphicFramePr>
        <xdr:cNvPr id="2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160020</xdr:colOff>
      <xdr:row>14</xdr:row>
      <xdr:rowOff>72189</xdr:rowOff>
    </xdr:from>
    <xdr:to>
      <xdr:col>3</xdr:col>
      <xdr:colOff>729916</xdr:colOff>
      <xdr:row>25</xdr:row>
      <xdr:rowOff>88230</xdr:rowOff>
    </xdr:to>
    <xdr:sp macro="" textlink="">
      <xdr:nvSpPr>
        <xdr:cNvPr id="37" name="36 Rectángulo"/>
        <xdr:cNvSpPr/>
      </xdr:nvSpPr>
      <xdr:spPr>
        <a:xfrm>
          <a:off x="1859280" y="2754429"/>
          <a:ext cx="569896" cy="144098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160020</xdr:colOff>
      <xdr:row>14</xdr:row>
      <xdr:rowOff>68580</xdr:rowOff>
    </xdr:from>
    <xdr:to>
      <xdr:col>6</xdr:col>
      <xdr:colOff>762000</xdr:colOff>
      <xdr:row>25</xdr:row>
      <xdr:rowOff>104273</xdr:rowOff>
    </xdr:to>
    <xdr:sp macro="" textlink="">
      <xdr:nvSpPr>
        <xdr:cNvPr id="40" name="39 Rectángulo"/>
        <xdr:cNvSpPr/>
      </xdr:nvSpPr>
      <xdr:spPr>
        <a:xfrm>
          <a:off x="4213860" y="2750820"/>
          <a:ext cx="601980" cy="1460633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716280</xdr:colOff>
      <xdr:row>14</xdr:row>
      <xdr:rowOff>76200</xdr:rowOff>
    </xdr:from>
    <xdr:to>
      <xdr:col>10</xdr:col>
      <xdr:colOff>453189</xdr:colOff>
      <xdr:row>24</xdr:row>
      <xdr:rowOff>68580</xdr:rowOff>
    </xdr:to>
    <xdr:sp macro="" textlink="">
      <xdr:nvSpPr>
        <xdr:cNvPr id="41" name="40 Rectángulo"/>
        <xdr:cNvSpPr/>
      </xdr:nvSpPr>
      <xdr:spPr>
        <a:xfrm>
          <a:off x="6858000" y="2758440"/>
          <a:ext cx="521769" cy="1287780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335280</xdr:colOff>
      <xdr:row>14</xdr:row>
      <xdr:rowOff>91440</xdr:rowOff>
    </xdr:from>
    <xdr:to>
      <xdr:col>14</xdr:col>
      <xdr:colOff>442360</xdr:colOff>
      <xdr:row>25</xdr:row>
      <xdr:rowOff>79008</xdr:rowOff>
    </xdr:to>
    <xdr:sp macro="" textlink="">
      <xdr:nvSpPr>
        <xdr:cNvPr id="42" name="41 Rectángulo"/>
        <xdr:cNvSpPr/>
      </xdr:nvSpPr>
      <xdr:spPr>
        <a:xfrm>
          <a:off x="9136380" y="2773680"/>
          <a:ext cx="564280" cy="1412508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411481</xdr:colOff>
      <xdr:row>29</xdr:row>
      <xdr:rowOff>116306</xdr:rowOff>
    </xdr:from>
    <xdr:to>
      <xdr:col>14</xdr:col>
      <xdr:colOff>495301</xdr:colOff>
      <xdr:row>40</xdr:row>
      <xdr:rowOff>2809</xdr:rowOff>
    </xdr:to>
    <xdr:sp macro="" textlink="">
      <xdr:nvSpPr>
        <xdr:cNvPr id="43" name="42 Rectángulo"/>
        <xdr:cNvSpPr/>
      </xdr:nvSpPr>
      <xdr:spPr>
        <a:xfrm>
          <a:off x="9212581" y="4741646"/>
          <a:ext cx="541020" cy="1311443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662940</xdr:colOff>
      <xdr:row>29</xdr:row>
      <xdr:rowOff>96253</xdr:rowOff>
    </xdr:from>
    <xdr:to>
      <xdr:col>11</xdr:col>
      <xdr:colOff>3608</xdr:colOff>
      <xdr:row>39</xdr:row>
      <xdr:rowOff>112295</xdr:rowOff>
    </xdr:to>
    <xdr:sp macro="" textlink="">
      <xdr:nvSpPr>
        <xdr:cNvPr id="44" name="43 Rectángulo"/>
        <xdr:cNvSpPr/>
      </xdr:nvSpPr>
      <xdr:spPr>
        <a:xfrm>
          <a:off x="6804660" y="4721593"/>
          <a:ext cx="628448" cy="131144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49</xdr:row>
      <xdr:rowOff>11531</xdr:rowOff>
    </xdr:from>
    <xdr:to>
      <xdr:col>3</xdr:col>
      <xdr:colOff>642016</xdr:colOff>
      <xdr:row>62</xdr:row>
      <xdr:rowOff>88509</xdr:rowOff>
    </xdr:to>
    <xdr:graphicFrame macro="">
      <xdr:nvGraphicFramePr>
        <xdr:cNvPr id="1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72188</xdr:colOff>
      <xdr:row>49</xdr:row>
      <xdr:rowOff>0</xdr:rowOff>
    </xdr:from>
    <xdr:to>
      <xdr:col>6</xdr:col>
      <xdr:colOff>682119</xdr:colOff>
      <xdr:row>62</xdr:row>
      <xdr:rowOff>72466</xdr:rowOff>
    </xdr:to>
    <xdr:graphicFrame macro="">
      <xdr:nvGraphicFramePr>
        <xdr:cNvPr id="2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3</xdr:col>
      <xdr:colOff>647029</xdr:colOff>
      <xdr:row>42</xdr:row>
      <xdr:rowOff>5791</xdr:rowOff>
    </xdr:to>
    <xdr:graphicFrame macro="">
      <xdr:nvGraphicFramePr>
        <xdr:cNvPr id="3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99060</xdr:colOff>
      <xdr:row>28</xdr:row>
      <xdr:rowOff>94247</xdr:rowOff>
    </xdr:from>
    <xdr:to>
      <xdr:col>3</xdr:col>
      <xdr:colOff>701040</xdr:colOff>
      <xdr:row>39</xdr:row>
      <xdr:rowOff>103774</xdr:rowOff>
    </xdr:to>
    <xdr:sp macro="" textlink="">
      <xdr:nvSpPr>
        <xdr:cNvPr id="38" name="37 Rectángulo"/>
        <xdr:cNvSpPr/>
      </xdr:nvSpPr>
      <xdr:spPr>
        <a:xfrm>
          <a:off x="1746885" y="4456697"/>
          <a:ext cx="601980" cy="1438277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744454</xdr:colOff>
      <xdr:row>14</xdr:row>
      <xdr:rowOff>68679</xdr:rowOff>
    </xdr:from>
    <xdr:to>
      <xdr:col>10</xdr:col>
      <xdr:colOff>729916</xdr:colOff>
      <xdr:row>28</xdr:row>
      <xdr:rowOff>43889</xdr:rowOff>
    </xdr:to>
    <xdr:graphicFrame macro="">
      <xdr:nvGraphicFramePr>
        <xdr:cNvPr id="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641682</xdr:colOff>
      <xdr:row>29</xdr:row>
      <xdr:rowOff>87229</xdr:rowOff>
    </xdr:from>
    <xdr:to>
      <xdr:col>11</xdr:col>
      <xdr:colOff>24062</xdr:colOff>
      <xdr:row>43</xdr:row>
      <xdr:rowOff>88230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280236</xdr:colOff>
      <xdr:row>29</xdr:row>
      <xdr:rowOff>39605</xdr:rowOff>
    </xdr:from>
    <xdr:to>
      <xdr:col>14</xdr:col>
      <xdr:colOff>615447</xdr:colOff>
      <xdr:row>43</xdr:row>
      <xdr:rowOff>14815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178468</xdr:colOff>
      <xdr:row>14</xdr:row>
      <xdr:rowOff>50131</xdr:rowOff>
    </xdr:from>
    <xdr:to>
      <xdr:col>14</xdr:col>
      <xdr:colOff>513679</xdr:colOff>
      <xdr:row>28</xdr:row>
      <xdr:rowOff>15315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118813</xdr:colOff>
      <xdr:row>14</xdr:row>
      <xdr:rowOff>26569</xdr:rowOff>
    </xdr:from>
    <xdr:to>
      <xdr:col>3</xdr:col>
      <xdr:colOff>784892</xdr:colOff>
      <xdr:row>28</xdr:row>
      <xdr:rowOff>3785</xdr:rowOff>
    </xdr:to>
    <xdr:graphicFrame macro="">
      <xdr:nvGraphicFramePr>
        <xdr:cNvPr id="1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168443</xdr:colOff>
      <xdr:row>14</xdr:row>
      <xdr:rowOff>64169</xdr:rowOff>
    </xdr:from>
    <xdr:to>
      <xdr:col>7</xdr:col>
      <xdr:colOff>16374</xdr:colOff>
      <xdr:row>28</xdr:row>
      <xdr:rowOff>41385</xdr:rowOff>
    </xdr:to>
    <xdr:graphicFrame macro="">
      <xdr:nvGraphicFramePr>
        <xdr:cNvPr id="2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128337</xdr:colOff>
      <xdr:row>29</xdr:row>
      <xdr:rowOff>0</xdr:rowOff>
    </xdr:from>
    <xdr:to>
      <xdr:col>4</xdr:col>
      <xdr:colOff>8353</xdr:colOff>
      <xdr:row>42</xdr:row>
      <xdr:rowOff>105553</xdr:rowOff>
    </xdr:to>
    <xdr:graphicFrame macro="">
      <xdr:nvGraphicFramePr>
        <xdr:cNvPr id="2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200525</xdr:colOff>
      <xdr:row>28</xdr:row>
      <xdr:rowOff>112294</xdr:rowOff>
    </xdr:from>
    <xdr:to>
      <xdr:col>7</xdr:col>
      <xdr:colOff>48456</xdr:colOff>
      <xdr:row>42</xdr:row>
      <xdr:rowOff>89510</xdr:rowOff>
    </xdr:to>
    <xdr:graphicFrame macro="">
      <xdr:nvGraphicFramePr>
        <xdr:cNvPr id="2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88231</xdr:colOff>
      <xdr:row>49</xdr:row>
      <xdr:rowOff>80211</xdr:rowOff>
    </xdr:from>
    <xdr:to>
      <xdr:col>3</xdr:col>
      <xdr:colOff>754310</xdr:colOff>
      <xdr:row>63</xdr:row>
      <xdr:rowOff>57428</xdr:rowOff>
    </xdr:to>
    <xdr:graphicFrame macro="">
      <xdr:nvGraphicFramePr>
        <xdr:cNvPr id="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137861</xdr:colOff>
      <xdr:row>49</xdr:row>
      <xdr:rowOff>117811</xdr:rowOff>
    </xdr:from>
    <xdr:to>
      <xdr:col>6</xdr:col>
      <xdr:colOff>771855</xdr:colOff>
      <xdr:row>63</xdr:row>
      <xdr:rowOff>95028</xdr:rowOff>
    </xdr:to>
    <xdr:graphicFrame macro="">
      <xdr:nvGraphicFramePr>
        <xdr:cNvPr id="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97755</xdr:colOff>
      <xdr:row>64</xdr:row>
      <xdr:rowOff>53643</xdr:rowOff>
    </xdr:from>
    <xdr:to>
      <xdr:col>3</xdr:col>
      <xdr:colOff>763834</xdr:colOff>
      <xdr:row>78</xdr:row>
      <xdr:rowOff>30859</xdr:rowOff>
    </xdr:to>
    <xdr:graphicFrame macro="">
      <xdr:nvGraphicFramePr>
        <xdr:cNvPr id="2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169943</xdr:colOff>
      <xdr:row>64</xdr:row>
      <xdr:rowOff>37600</xdr:rowOff>
    </xdr:from>
    <xdr:to>
      <xdr:col>7</xdr:col>
      <xdr:colOff>17874</xdr:colOff>
      <xdr:row>78</xdr:row>
      <xdr:rowOff>14816</xdr:rowOff>
    </xdr:to>
    <xdr:graphicFrame macro="">
      <xdr:nvGraphicFramePr>
        <xdr:cNvPr id="3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224590</xdr:colOff>
      <xdr:row>49</xdr:row>
      <xdr:rowOff>32084</xdr:rowOff>
    </xdr:from>
    <xdr:to>
      <xdr:col>11</xdr:col>
      <xdr:colOff>72521</xdr:colOff>
      <xdr:row>63</xdr:row>
      <xdr:rowOff>9301</xdr:rowOff>
    </xdr:to>
    <xdr:graphicFrame macro="">
      <xdr:nvGraphicFramePr>
        <xdr:cNvPr id="3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242135</xdr:colOff>
      <xdr:row>49</xdr:row>
      <xdr:rowOff>69684</xdr:rowOff>
    </xdr:from>
    <xdr:to>
      <xdr:col>14</xdr:col>
      <xdr:colOff>563309</xdr:colOff>
      <xdr:row>63</xdr:row>
      <xdr:rowOff>46901</xdr:rowOff>
    </xdr:to>
    <xdr:graphicFrame macro="">
      <xdr:nvGraphicFramePr>
        <xdr:cNvPr id="3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234114</xdr:colOff>
      <xdr:row>64</xdr:row>
      <xdr:rowOff>5516</xdr:rowOff>
    </xdr:from>
    <xdr:to>
      <xdr:col>11</xdr:col>
      <xdr:colOff>82045</xdr:colOff>
      <xdr:row>77</xdr:row>
      <xdr:rowOff>111069</xdr:rowOff>
    </xdr:to>
    <xdr:graphicFrame macro="">
      <xdr:nvGraphicFramePr>
        <xdr:cNvPr id="3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274217</xdr:colOff>
      <xdr:row>63</xdr:row>
      <xdr:rowOff>117810</xdr:rowOff>
    </xdr:from>
    <xdr:to>
      <xdr:col>14</xdr:col>
      <xdr:colOff>595391</xdr:colOff>
      <xdr:row>77</xdr:row>
      <xdr:rowOff>95026</xdr:rowOff>
    </xdr:to>
    <xdr:graphicFrame macro="">
      <xdr:nvGraphicFramePr>
        <xdr:cNvPr id="3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136358</xdr:colOff>
      <xdr:row>14</xdr:row>
      <xdr:rowOff>72189</xdr:rowOff>
    </xdr:from>
    <xdr:to>
      <xdr:col>3</xdr:col>
      <xdr:colOff>729916</xdr:colOff>
      <xdr:row>25</xdr:row>
      <xdr:rowOff>88230</xdr:rowOff>
    </xdr:to>
    <xdr:sp macro="" textlink="">
      <xdr:nvSpPr>
        <xdr:cNvPr id="19" name="18 Rectángulo"/>
        <xdr:cNvSpPr/>
      </xdr:nvSpPr>
      <xdr:spPr>
        <a:xfrm>
          <a:off x="1860884" y="2735178"/>
          <a:ext cx="593558" cy="1427747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184484</xdr:colOff>
      <xdr:row>29</xdr:row>
      <xdr:rowOff>56147</xdr:rowOff>
    </xdr:from>
    <xdr:to>
      <xdr:col>3</xdr:col>
      <xdr:colOff>721894</xdr:colOff>
      <xdr:row>40</xdr:row>
      <xdr:rowOff>56149</xdr:rowOff>
    </xdr:to>
    <xdr:sp macro="" textlink="">
      <xdr:nvSpPr>
        <xdr:cNvPr id="21" name="20 Rectángulo"/>
        <xdr:cNvSpPr/>
      </xdr:nvSpPr>
      <xdr:spPr>
        <a:xfrm>
          <a:off x="1909010" y="4644189"/>
          <a:ext cx="537410" cy="1411707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232610</xdr:colOff>
      <xdr:row>29</xdr:row>
      <xdr:rowOff>72189</xdr:rowOff>
    </xdr:from>
    <xdr:to>
      <xdr:col>6</xdr:col>
      <xdr:colOff>770020</xdr:colOff>
      <xdr:row>40</xdr:row>
      <xdr:rowOff>48127</xdr:rowOff>
    </xdr:to>
    <xdr:sp macro="" textlink="">
      <xdr:nvSpPr>
        <xdr:cNvPr id="22" name="21 Rectángulo"/>
        <xdr:cNvSpPr/>
      </xdr:nvSpPr>
      <xdr:spPr>
        <a:xfrm>
          <a:off x="4315326" y="4660231"/>
          <a:ext cx="537410" cy="1387643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200526</xdr:colOff>
      <xdr:row>15</xdr:row>
      <xdr:rowOff>1</xdr:rowOff>
    </xdr:from>
    <xdr:to>
      <xdr:col>6</xdr:col>
      <xdr:colOff>762000</xdr:colOff>
      <xdr:row>25</xdr:row>
      <xdr:rowOff>104273</xdr:rowOff>
    </xdr:to>
    <xdr:sp macro="" textlink="">
      <xdr:nvSpPr>
        <xdr:cNvPr id="24" name="23 Rectángulo"/>
        <xdr:cNvSpPr/>
      </xdr:nvSpPr>
      <xdr:spPr>
        <a:xfrm>
          <a:off x="4283242" y="2791327"/>
          <a:ext cx="561474" cy="138764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762000</xdr:colOff>
      <xdr:row>15</xdr:row>
      <xdr:rowOff>8022</xdr:rowOff>
    </xdr:from>
    <xdr:to>
      <xdr:col>10</xdr:col>
      <xdr:colOff>681789</xdr:colOff>
      <xdr:row>25</xdr:row>
      <xdr:rowOff>24064</xdr:rowOff>
    </xdr:to>
    <xdr:sp macro="" textlink="">
      <xdr:nvSpPr>
        <xdr:cNvPr id="35" name="34 Rectángulo"/>
        <xdr:cNvSpPr/>
      </xdr:nvSpPr>
      <xdr:spPr>
        <a:xfrm>
          <a:off x="7202905" y="2799348"/>
          <a:ext cx="705852" cy="129941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633663</xdr:colOff>
      <xdr:row>14</xdr:row>
      <xdr:rowOff>56149</xdr:rowOff>
    </xdr:from>
    <xdr:to>
      <xdr:col>14</xdr:col>
      <xdr:colOff>465220</xdr:colOff>
      <xdr:row>25</xdr:row>
      <xdr:rowOff>56149</xdr:rowOff>
    </xdr:to>
    <xdr:sp macro="" textlink="">
      <xdr:nvSpPr>
        <xdr:cNvPr id="36" name="35 Rectángulo"/>
        <xdr:cNvSpPr/>
      </xdr:nvSpPr>
      <xdr:spPr>
        <a:xfrm>
          <a:off x="9745579" y="2719138"/>
          <a:ext cx="561473" cy="1411706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721895</xdr:colOff>
      <xdr:row>30</xdr:row>
      <xdr:rowOff>40106</xdr:rowOff>
    </xdr:from>
    <xdr:to>
      <xdr:col>14</xdr:col>
      <xdr:colOff>497304</xdr:colOff>
      <xdr:row>40</xdr:row>
      <xdr:rowOff>56149</xdr:rowOff>
    </xdr:to>
    <xdr:sp macro="" textlink="">
      <xdr:nvSpPr>
        <xdr:cNvPr id="37" name="36 Rectángulo"/>
        <xdr:cNvSpPr/>
      </xdr:nvSpPr>
      <xdr:spPr>
        <a:xfrm>
          <a:off x="9833811" y="4756485"/>
          <a:ext cx="561472" cy="129941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64168</xdr:colOff>
      <xdr:row>29</xdr:row>
      <xdr:rowOff>96253</xdr:rowOff>
    </xdr:from>
    <xdr:to>
      <xdr:col>10</xdr:col>
      <xdr:colOff>681788</xdr:colOff>
      <xdr:row>39</xdr:row>
      <xdr:rowOff>112295</xdr:rowOff>
    </xdr:to>
    <xdr:sp macro="" textlink="">
      <xdr:nvSpPr>
        <xdr:cNvPr id="38" name="37 Rectángulo"/>
        <xdr:cNvSpPr/>
      </xdr:nvSpPr>
      <xdr:spPr>
        <a:xfrm>
          <a:off x="7291136" y="4684295"/>
          <a:ext cx="617620" cy="129941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88232</xdr:colOff>
      <xdr:row>49</xdr:row>
      <xdr:rowOff>72190</xdr:rowOff>
    </xdr:from>
    <xdr:to>
      <xdr:col>3</xdr:col>
      <xdr:colOff>697831</xdr:colOff>
      <xdr:row>61</xdr:row>
      <xdr:rowOff>16042</xdr:rowOff>
    </xdr:to>
    <xdr:sp macro="" textlink="">
      <xdr:nvSpPr>
        <xdr:cNvPr id="39" name="38 Rectángulo"/>
        <xdr:cNvSpPr/>
      </xdr:nvSpPr>
      <xdr:spPr>
        <a:xfrm>
          <a:off x="1812758" y="7226969"/>
          <a:ext cx="609599" cy="1483894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88232</xdr:colOff>
      <xdr:row>49</xdr:row>
      <xdr:rowOff>88232</xdr:rowOff>
    </xdr:from>
    <xdr:to>
      <xdr:col>6</xdr:col>
      <xdr:colOff>713874</xdr:colOff>
      <xdr:row>61</xdr:row>
      <xdr:rowOff>24063</xdr:rowOff>
    </xdr:to>
    <xdr:sp macro="" textlink="">
      <xdr:nvSpPr>
        <xdr:cNvPr id="40" name="39 Rectángulo"/>
        <xdr:cNvSpPr/>
      </xdr:nvSpPr>
      <xdr:spPr>
        <a:xfrm>
          <a:off x="4170948" y="7243011"/>
          <a:ext cx="625642" cy="1475873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72191</xdr:colOff>
      <xdr:row>63</xdr:row>
      <xdr:rowOff>120316</xdr:rowOff>
    </xdr:from>
    <xdr:to>
      <xdr:col>3</xdr:col>
      <xdr:colOff>721895</xdr:colOff>
      <xdr:row>75</xdr:row>
      <xdr:rowOff>16042</xdr:rowOff>
    </xdr:to>
    <xdr:sp macro="" textlink="">
      <xdr:nvSpPr>
        <xdr:cNvPr id="41" name="40 Rectángulo"/>
        <xdr:cNvSpPr/>
      </xdr:nvSpPr>
      <xdr:spPr>
        <a:xfrm>
          <a:off x="1796717" y="9071811"/>
          <a:ext cx="649704" cy="1435768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80210</xdr:colOff>
      <xdr:row>63</xdr:row>
      <xdr:rowOff>120315</xdr:rowOff>
    </xdr:from>
    <xdr:to>
      <xdr:col>6</xdr:col>
      <xdr:colOff>745958</xdr:colOff>
      <xdr:row>75</xdr:row>
      <xdr:rowOff>56147</xdr:rowOff>
    </xdr:to>
    <xdr:sp macro="" textlink="">
      <xdr:nvSpPr>
        <xdr:cNvPr id="42" name="41 Rectángulo"/>
        <xdr:cNvSpPr/>
      </xdr:nvSpPr>
      <xdr:spPr>
        <a:xfrm>
          <a:off x="4162926" y="9071810"/>
          <a:ext cx="665748" cy="1475874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232611</xdr:colOff>
      <xdr:row>64</xdr:row>
      <xdr:rowOff>56147</xdr:rowOff>
    </xdr:from>
    <xdr:to>
      <xdr:col>11</xdr:col>
      <xdr:colOff>24062</xdr:colOff>
      <xdr:row>75</xdr:row>
      <xdr:rowOff>48126</xdr:rowOff>
    </xdr:to>
    <xdr:sp macro="" textlink="">
      <xdr:nvSpPr>
        <xdr:cNvPr id="43" name="42 Rectángulo"/>
        <xdr:cNvSpPr/>
      </xdr:nvSpPr>
      <xdr:spPr>
        <a:xfrm>
          <a:off x="7459579" y="9135979"/>
          <a:ext cx="577515" cy="1403684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737937</xdr:colOff>
      <xdr:row>64</xdr:row>
      <xdr:rowOff>48125</xdr:rowOff>
    </xdr:from>
    <xdr:to>
      <xdr:col>14</xdr:col>
      <xdr:colOff>545431</xdr:colOff>
      <xdr:row>75</xdr:row>
      <xdr:rowOff>32084</xdr:rowOff>
    </xdr:to>
    <xdr:sp macro="" textlink="">
      <xdr:nvSpPr>
        <xdr:cNvPr id="44" name="43 Rectángulo"/>
        <xdr:cNvSpPr/>
      </xdr:nvSpPr>
      <xdr:spPr>
        <a:xfrm>
          <a:off x="9849853" y="9127957"/>
          <a:ext cx="593557" cy="1395664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745959</xdr:colOff>
      <xdr:row>50</xdr:row>
      <xdr:rowOff>24063</xdr:rowOff>
    </xdr:from>
    <xdr:to>
      <xdr:col>14</xdr:col>
      <xdr:colOff>513347</xdr:colOff>
      <xdr:row>60</xdr:row>
      <xdr:rowOff>112295</xdr:rowOff>
    </xdr:to>
    <xdr:sp macro="" textlink="">
      <xdr:nvSpPr>
        <xdr:cNvPr id="45" name="44 Rectángulo"/>
        <xdr:cNvSpPr/>
      </xdr:nvSpPr>
      <xdr:spPr>
        <a:xfrm>
          <a:off x="9857875" y="7307179"/>
          <a:ext cx="553451" cy="1371600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208548</xdr:colOff>
      <xdr:row>50</xdr:row>
      <xdr:rowOff>16043</xdr:rowOff>
    </xdr:from>
    <xdr:to>
      <xdr:col>11</xdr:col>
      <xdr:colOff>32085</xdr:colOff>
      <xdr:row>60</xdr:row>
      <xdr:rowOff>96255</xdr:rowOff>
    </xdr:to>
    <xdr:sp macro="" textlink="">
      <xdr:nvSpPr>
        <xdr:cNvPr id="46" name="45 Rectángulo"/>
        <xdr:cNvSpPr/>
      </xdr:nvSpPr>
      <xdr:spPr>
        <a:xfrm>
          <a:off x="7435516" y="7299159"/>
          <a:ext cx="609601" cy="1363580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529390</xdr:colOff>
      <xdr:row>3</xdr:row>
      <xdr:rowOff>144381</xdr:rowOff>
    </xdr:from>
    <xdr:to>
      <xdr:col>13</xdr:col>
      <xdr:colOff>697832</xdr:colOff>
      <xdr:row>10</xdr:row>
      <xdr:rowOff>120318</xdr:rowOff>
    </xdr:to>
    <xdr:graphicFrame macro="">
      <xdr:nvGraphicFramePr>
        <xdr:cNvPr id="48" name="4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160421</xdr:colOff>
      <xdr:row>3</xdr:row>
      <xdr:rowOff>144378</xdr:rowOff>
    </xdr:from>
    <xdr:to>
      <xdr:col>13</xdr:col>
      <xdr:colOff>619849</xdr:colOff>
      <xdr:row>8</xdr:row>
      <xdr:rowOff>30746</xdr:rowOff>
    </xdr:to>
    <xdr:sp macro="" textlink="">
      <xdr:nvSpPr>
        <xdr:cNvPr id="47" name="46 Rectángulo"/>
        <xdr:cNvSpPr/>
      </xdr:nvSpPr>
      <xdr:spPr>
        <a:xfrm>
          <a:off x="8959516" y="609599"/>
          <a:ext cx="772249" cy="129005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33868</xdr:colOff>
      <xdr:row>15</xdr:row>
      <xdr:rowOff>16934</xdr:rowOff>
    </xdr:from>
    <xdr:to>
      <xdr:col>11</xdr:col>
      <xdr:colOff>135467</xdr:colOff>
      <xdr:row>27</xdr:row>
      <xdr:rowOff>118534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364068</xdr:colOff>
      <xdr:row>15</xdr:row>
      <xdr:rowOff>50799</xdr:rowOff>
    </xdr:from>
    <xdr:to>
      <xdr:col>14</xdr:col>
      <xdr:colOff>482600</xdr:colOff>
      <xdr:row>27</xdr:row>
      <xdr:rowOff>101600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135466</xdr:colOff>
      <xdr:row>29</xdr:row>
      <xdr:rowOff>67733</xdr:rowOff>
    </xdr:from>
    <xdr:to>
      <xdr:col>11</xdr:col>
      <xdr:colOff>93133</xdr:colOff>
      <xdr:row>42</xdr:row>
      <xdr:rowOff>63218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753534</xdr:colOff>
      <xdr:row>3</xdr:row>
      <xdr:rowOff>171872</xdr:rowOff>
    </xdr:from>
    <xdr:to>
      <xdr:col>13</xdr:col>
      <xdr:colOff>120200</xdr:colOff>
      <xdr:row>10</xdr:row>
      <xdr:rowOff>46285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118813</xdr:colOff>
      <xdr:row>14</xdr:row>
      <xdr:rowOff>26569</xdr:rowOff>
    </xdr:from>
    <xdr:to>
      <xdr:col>3</xdr:col>
      <xdr:colOff>784892</xdr:colOff>
      <xdr:row>28</xdr:row>
      <xdr:rowOff>3785</xdr:rowOff>
    </xdr:to>
    <xdr:graphicFrame macro="">
      <xdr:nvGraphicFramePr>
        <xdr:cNvPr id="1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168443</xdr:colOff>
      <xdr:row>14</xdr:row>
      <xdr:rowOff>64169</xdr:rowOff>
    </xdr:from>
    <xdr:to>
      <xdr:col>7</xdr:col>
      <xdr:colOff>16374</xdr:colOff>
      <xdr:row>28</xdr:row>
      <xdr:rowOff>41385</xdr:rowOff>
    </xdr:to>
    <xdr:graphicFrame macro="">
      <xdr:nvGraphicFramePr>
        <xdr:cNvPr id="1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128337</xdr:colOff>
      <xdr:row>29</xdr:row>
      <xdr:rowOff>0</xdr:rowOff>
    </xdr:from>
    <xdr:to>
      <xdr:col>4</xdr:col>
      <xdr:colOff>8353</xdr:colOff>
      <xdr:row>42</xdr:row>
      <xdr:rowOff>105553</xdr:rowOff>
    </xdr:to>
    <xdr:graphicFrame macro="">
      <xdr:nvGraphicFramePr>
        <xdr:cNvPr id="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200525</xdr:colOff>
      <xdr:row>28</xdr:row>
      <xdr:rowOff>112294</xdr:rowOff>
    </xdr:from>
    <xdr:to>
      <xdr:col>7</xdr:col>
      <xdr:colOff>48456</xdr:colOff>
      <xdr:row>42</xdr:row>
      <xdr:rowOff>89510</xdr:rowOff>
    </xdr:to>
    <xdr:graphicFrame macro="">
      <xdr:nvGraphicFramePr>
        <xdr:cNvPr id="1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88231</xdr:colOff>
      <xdr:row>49</xdr:row>
      <xdr:rowOff>80211</xdr:rowOff>
    </xdr:from>
    <xdr:to>
      <xdr:col>3</xdr:col>
      <xdr:colOff>754310</xdr:colOff>
      <xdr:row>63</xdr:row>
      <xdr:rowOff>57428</xdr:rowOff>
    </xdr:to>
    <xdr:graphicFrame macro="">
      <xdr:nvGraphicFramePr>
        <xdr:cNvPr id="1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103994</xdr:colOff>
      <xdr:row>49</xdr:row>
      <xdr:rowOff>50077</xdr:rowOff>
    </xdr:from>
    <xdr:to>
      <xdr:col>6</xdr:col>
      <xdr:colOff>737988</xdr:colOff>
      <xdr:row>62</xdr:row>
      <xdr:rowOff>76200</xdr:rowOff>
    </xdr:to>
    <xdr:graphicFrame macro="">
      <xdr:nvGraphicFramePr>
        <xdr:cNvPr id="1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97755</xdr:colOff>
      <xdr:row>64</xdr:row>
      <xdr:rowOff>53643</xdr:rowOff>
    </xdr:from>
    <xdr:to>
      <xdr:col>3</xdr:col>
      <xdr:colOff>763834</xdr:colOff>
      <xdr:row>78</xdr:row>
      <xdr:rowOff>30859</xdr:rowOff>
    </xdr:to>
    <xdr:graphicFrame macro="">
      <xdr:nvGraphicFramePr>
        <xdr:cNvPr id="2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169943</xdr:colOff>
      <xdr:row>64</xdr:row>
      <xdr:rowOff>37600</xdr:rowOff>
    </xdr:from>
    <xdr:to>
      <xdr:col>7</xdr:col>
      <xdr:colOff>17874</xdr:colOff>
      <xdr:row>78</xdr:row>
      <xdr:rowOff>14816</xdr:rowOff>
    </xdr:to>
    <xdr:graphicFrame macro="">
      <xdr:nvGraphicFramePr>
        <xdr:cNvPr id="2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224590</xdr:colOff>
      <xdr:row>49</xdr:row>
      <xdr:rowOff>32084</xdr:rowOff>
    </xdr:from>
    <xdr:to>
      <xdr:col>11</xdr:col>
      <xdr:colOff>72521</xdr:colOff>
      <xdr:row>63</xdr:row>
      <xdr:rowOff>9301</xdr:rowOff>
    </xdr:to>
    <xdr:graphicFrame macro="">
      <xdr:nvGraphicFramePr>
        <xdr:cNvPr id="2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242135</xdr:colOff>
      <xdr:row>49</xdr:row>
      <xdr:rowOff>69684</xdr:rowOff>
    </xdr:from>
    <xdr:to>
      <xdr:col>14</xdr:col>
      <xdr:colOff>563309</xdr:colOff>
      <xdr:row>63</xdr:row>
      <xdr:rowOff>46901</xdr:rowOff>
    </xdr:to>
    <xdr:graphicFrame macro="">
      <xdr:nvGraphicFramePr>
        <xdr:cNvPr id="2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234114</xdr:colOff>
      <xdr:row>64</xdr:row>
      <xdr:rowOff>5516</xdr:rowOff>
    </xdr:from>
    <xdr:to>
      <xdr:col>11</xdr:col>
      <xdr:colOff>82045</xdr:colOff>
      <xdr:row>77</xdr:row>
      <xdr:rowOff>111069</xdr:rowOff>
    </xdr:to>
    <xdr:graphicFrame macro="">
      <xdr:nvGraphicFramePr>
        <xdr:cNvPr id="2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274217</xdr:colOff>
      <xdr:row>63</xdr:row>
      <xdr:rowOff>117810</xdr:rowOff>
    </xdr:from>
    <xdr:to>
      <xdr:col>14</xdr:col>
      <xdr:colOff>595391</xdr:colOff>
      <xdr:row>77</xdr:row>
      <xdr:rowOff>95026</xdr:rowOff>
    </xdr:to>
    <xdr:graphicFrame macro="">
      <xdr:nvGraphicFramePr>
        <xdr:cNvPr id="2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136358</xdr:colOff>
      <xdr:row>14</xdr:row>
      <xdr:rowOff>72189</xdr:rowOff>
    </xdr:from>
    <xdr:to>
      <xdr:col>3</xdr:col>
      <xdr:colOff>729916</xdr:colOff>
      <xdr:row>25</xdr:row>
      <xdr:rowOff>88230</xdr:rowOff>
    </xdr:to>
    <xdr:sp macro="" textlink="">
      <xdr:nvSpPr>
        <xdr:cNvPr id="26" name="25 Rectángulo"/>
        <xdr:cNvSpPr/>
      </xdr:nvSpPr>
      <xdr:spPr>
        <a:xfrm>
          <a:off x="1858478" y="2746809"/>
          <a:ext cx="593558" cy="144098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184484</xdr:colOff>
      <xdr:row>29</xdr:row>
      <xdr:rowOff>56147</xdr:rowOff>
    </xdr:from>
    <xdr:to>
      <xdr:col>3</xdr:col>
      <xdr:colOff>721894</xdr:colOff>
      <xdr:row>40</xdr:row>
      <xdr:rowOff>56149</xdr:rowOff>
    </xdr:to>
    <xdr:sp macro="" textlink="">
      <xdr:nvSpPr>
        <xdr:cNvPr id="27" name="26 Rectángulo"/>
        <xdr:cNvSpPr/>
      </xdr:nvSpPr>
      <xdr:spPr>
        <a:xfrm>
          <a:off x="1906604" y="4673867"/>
          <a:ext cx="537410" cy="142494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232610</xdr:colOff>
      <xdr:row>29</xdr:row>
      <xdr:rowOff>72189</xdr:rowOff>
    </xdr:from>
    <xdr:to>
      <xdr:col>6</xdr:col>
      <xdr:colOff>770020</xdr:colOff>
      <xdr:row>40</xdr:row>
      <xdr:rowOff>48127</xdr:rowOff>
    </xdr:to>
    <xdr:sp macro="" textlink="">
      <xdr:nvSpPr>
        <xdr:cNvPr id="28" name="27 Rectángulo"/>
        <xdr:cNvSpPr/>
      </xdr:nvSpPr>
      <xdr:spPr>
        <a:xfrm>
          <a:off x="4309310" y="4689909"/>
          <a:ext cx="537410" cy="1400878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200526</xdr:colOff>
      <xdr:row>15</xdr:row>
      <xdr:rowOff>1</xdr:rowOff>
    </xdr:from>
    <xdr:to>
      <xdr:col>6</xdr:col>
      <xdr:colOff>762000</xdr:colOff>
      <xdr:row>25</xdr:row>
      <xdr:rowOff>104273</xdr:rowOff>
    </xdr:to>
    <xdr:sp macro="" textlink="">
      <xdr:nvSpPr>
        <xdr:cNvPr id="29" name="28 Rectángulo"/>
        <xdr:cNvSpPr/>
      </xdr:nvSpPr>
      <xdr:spPr>
        <a:xfrm>
          <a:off x="4277226" y="2804161"/>
          <a:ext cx="561474" cy="139967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186267</xdr:colOff>
      <xdr:row>15</xdr:row>
      <xdr:rowOff>8022</xdr:rowOff>
    </xdr:from>
    <xdr:to>
      <xdr:col>11</xdr:col>
      <xdr:colOff>59267</xdr:colOff>
      <xdr:row>25</xdr:row>
      <xdr:rowOff>24064</xdr:rowOff>
    </xdr:to>
    <xdr:sp macro="" textlink="">
      <xdr:nvSpPr>
        <xdr:cNvPr id="30" name="29 Rectángulo"/>
        <xdr:cNvSpPr/>
      </xdr:nvSpPr>
      <xdr:spPr>
        <a:xfrm>
          <a:off x="7543800" y="2802022"/>
          <a:ext cx="660400" cy="128604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516467</xdr:colOff>
      <xdr:row>14</xdr:row>
      <xdr:rowOff>84667</xdr:rowOff>
    </xdr:from>
    <xdr:to>
      <xdr:col>14</xdr:col>
      <xdr:colOff>389020</xdr:colOff>
      <xdr:row>25</xdr:row>
      <xdr:rowOff>90014</xdr:rowOff>
    </xdr:to>
    <xdr:sp macro="" textlink="">
      <xdr:nvSpPr>
        <xdr:cNvPr id="31" name="30 Rectángulo"/>
        <xdr:cNvSpPr/>
      </xdr:nvSpPr>
      <xdr:spPr>
        <a:xfrm>
          <a:off x="10236200" y="2751667"/>
          <a:ext cx="659953" cy="1402347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84667</xdr:colOff>
      <xdr:row>31</xdr:row>
      <xdr:rowOff>28519</xdr:rowOff>
    </xdr:from>
    <xdr:to>
      <xdr:col>10</xdr:col>
      <xdr:colOff>770467</xdr:colOff>
      <xdr:row>41</xdr:row>
      <xdr:rowOff>44561</xdr:rowOff>
    </xdr:to>
    <xdr:sp macro="" textlink="">
      <xdr:nvSpPr>
        <xdr:cNvPr id="33" name="32 Rectángulo"/>
        <xdr:cNvSpPr/>
      </xdr:nvSpPr>
      <xdr:spPr>
        <a:xfrm>
          <a:off x="7442200" y="4854519"/>
          <a:ext cx="685800" cy="128604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88232</xdr:colOff>
      <xdr:row>49</xdr:row>
      <xdr:rowOff>72190</xdr:rowOff>
    </xdr:from>
    <xdr:to>
      <xdr:col>3</xdr:col>
      <xdr:colOff>697831</xdr:colOff>
      <xdr:row>61</xdr:row>
      <xdr:rowOff>16042</xdr:rowOff>
    </xdr:to>
    <xdr:sp macro="" textlink="">
      <xdr:nvSpPr>
        <xdr:cNvPr id="34" name="33 Rectángulo"/>
        <xdr:cNvSpPr/>
      </xdr:nvSpPr>
      <xdr:spPr>
        <a:xfrm>
          <a:off x="1810352" y="7280710"/>
          <a:ext cx="609599" cy="149833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88232</xdr:colOff>
      <xdr:row>49</xdr:row>
      <xdr:rowOff>88232</xdr:rowOff>
    </xdr:from>
    <xdr:to>
      <xdr:col>6</xdr:col>
      <xdr:colOff>713874</xdr:colOff>
      <xdr:row>61</xdr:row>
      <xdr:rowOff>24063</xdr:rowOff>
    </xdr:to>
    <xdr:sp macro="" textlink="">
      <xdr:nvSpPr>
        <xdr:cNvPr id="35" name="34 Rectángulo"/>
        <xdr:cNvSpPr/>
      </xdr:nvSpPr>
      <xdr:spPr>
        <a:xfrm>
          <a:off x="4164932" y="7296752"/>
          <a:ext cx="625642" cy="149031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72191</xdr:colOff>
      <xdr:row>63</xdr:row>
      <xdr:rowOff>120316</xdr:rowOff>
    </xdr:from>
    <xdr:to>
      <xdr:col>3</xdr:col>
      <xdr:colOff>721895</xdr:colOff>
      <xdr:row>75</xdr:row>
      <xdr:rowOff>16042</xdr:rowOff>
    </xdr:to>
    <xdr:sp macro="" textlink="">
      <xdr:nvSpPr>
        <xdr:cNvPr id="36" name="35 Rectángulo"/>
        <xdr:cNvSpPr/>
      </xdr:nvSpPr>
      <xdr:spPr>
        <a:xfrm>
          <a:off x="1794311" y="9142396"/>
          <a:ext cx="649704" cy="1450206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80210</xdr:colOff>
      <xdr:row>63</xdr:row>
      <xdr:rowOff>120315</xdr:rowOff>
    </xdr:from>
    <xdr:to>
      <xdr:col>6</xdr:col>
      <xdr:colOff>745958</xdr:colOff>
      <xdr:row>75</xdr:row>
      <xdr:rowOff>56147</xdr:rowOff>
    </xdr:to>
    <xdr:sp macro="" textlink="">
      <xdr:nvSpPr>
        <xdr:cNvPr id="37" name="36 Rectángulo"/>
        <xdr:cNvSpPr/>
      </xdr:nvSpPr>
      <xdr:spPr>
        <a:xfrm>
          <a:off x="4156910" y="9142395"/>
          <a:ext cx="665748" cy="149031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232611</xdr:colOff>
      <xdr:row>64</xdr:row>
      <xdr:rowOff>56147</xdr:rowOff>
    </xdr:from>
    <xdr:to>
      <xdr:col>11</xdr:col>
      <xdr:colOff>24062</xdr:colOff>
      <xdr:row>75</xdr:row>
      <xdr:rowOff>48126</xdr:rowOff>
    </xdr:to>
    <xdr:sp macro="" textlink="">
      <xdr:nvSpPr>
        <xdr:cNvPr id="38" name="37 Rectángulo"/>
        <xdr:cNvSpPr/>
      </xdr:nvSpPr>
      <xdr:spPr>
        <a:xfrm>
          <a:off x="7448751" y="9207767"/>
          <a:ext cx="576311" cy="1416919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499534</xdr:colOff>
      <xdr:row>64</xdr:row>
      <xdr:rowOff>48125</xdr:rowOff>
    </xdr:from>
    <xdr:to>
      <xdr:col>14</xdr:col>
      <xdr:colOff>545431</xdr:colOff>
      <xdr:row>75</xdr:row>
      <xdr:rowOff>32084</xdr:rowOff>
    </xdr:to>
    <xdr:sp macro="" textlink="">
      <xdr:nvSpPr>
        <xdr:cNvPr id="39" name="38 Rectángulo"/>
        <xdr:cNvSpPr/>
      </xdr:nvSpPr>
      <xdr:spPr>
        <a:xfrm>
          <a:off x="10219267" y="9065125"/>
          <a:ext cx="833297" cy="1380959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567267</xdr:colOff>
      <xdr:row>50</xdr:row>
      <xdr:rowOff>24063</xdr:rowOff>
    </xdr:from>
    <xdr:to>
      <xdr:col>14</xdr:col>
      <xdr:colOff>513347</xdr:colOff>
      <xdr:row>60</xdr:row>
      <xdr:rowOff>112295</xdr:rowOff>
    </xdr:to>
    <xdr:sp macro="" textlink="">
      <xdr:nvSpPr>
        <xdr:cNvPr id="40" name="39 Rectángulo"/>
        <xdr:cNvSpPr/>
      </xdr:nvSpPr>
      <xdr:spPr>
        <a:xfrm>
          <a:off x="10287000" y="7263063"/>
          <a:ext cx="733480" cy="135823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208548</xdr:colOff>
      <xdr:row>50</xdr:row>
      <xdr:rowOff>16043</xdr:rowOff>
    </xdr:from>
    <xdr:to>
      <xdr:col>11</xdr:col>
      <xdr:colOff>32085</xdr:colOff>
      <xdr:row>60</xdr:row>
      <xdr:rowOff>96255</xdr:rowOff>
    </xdr:to>
    <xdr:sp macro="" textlink="">
      <xdr:nvSpPr>
        <xdr:cNvPr id="41" name="40 Rectángulo"/>
        <xdr:cNvSpPr/>
      </xdr:nvSpPr>
      <xdr:spPr>
        <a:xfrm>
          <a:off x="7424688" y="7354103"/>
          <a:ext cx="608397" cy="137561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143934</xdr:colOff>
      <xdr:row>3</xdr:row>
      <xdr:rowOff>127001</xdr:rowOff>
    </xdr:from>
    <xdr:to>
      <xdr:col>13</xdr:col>
      <xdr:colOff>8019</xdr:colOff>
      <xdr:row>7</xdr:row>
      <xdr:rowOff>73081</xdr:rowOff>
    </xdr:to>
    <xdr:sp macro="" textlink="">
      <xdr:nvSpPr>
        <xdr:cNvPr id="42" name="41 Rectángulo"/>
        <xdr:cNvSpPr/>
      </xdr:nvSpPr>
      <xdr:spPr>
        <a:xfrm>
          <a:off x="9076267" y="609601"/>
          <a:ext cx="651485" cy="1216080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612941</xdr:colOff>
      <xdr:row>32</xdr:row>
      <xdr:rowOff>104608</xdr:rowOff>
    </xdr:from>
    <xdr:to>
      <xdr:col>7</xdr:col>
      <xdr:colOff>287867</xdr:colOff>
      <xdr:row>45</xdr:row>
      <xdr:rowOff>105440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2</xdr:row>
      <xdr:rowOff>287866</xdr:rowOff>
    </xdr:from>
    <xdr:to>
      <xdr:col>12</xdr:col>
      <xdr:colOff>137578</xdr:colOff>
      <xdr:row>11</xdr:row>
      <xdr:rowOff>8466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254001</xdr:colOff>
      <xdr:row>32</xdr:row>
      <xdr:rowOff>50801</xdr:rowOff>
    </xdr:from>
    <xdr:to>
      <xdr:col>3</xdr:col>
      <xdr:colOff>702733</xdr:colOff>
      <xdr:row>45</xdr:row>
      <xdr:rowOff>25401</xdr:rowOff>
    </xdr:to>
    <xdr:graphicFrame macro="">
      <xdr:nvGraphicFramePr>
        <xdr:cNvPr id="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118813</xdr:colOff>
      <xdr:row>14</xdr:row>
      <xdr:rowOff>26569</xdr:rowOff>
    </xdr:from>
    <xdr:to>
      <xdr:col>3</xdr:col>
      <xdr:colOff>784892</xdr:colOff>
      <xdr:row>28</xdr:row>
      <xdr:rowOff>3785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596231</xdr:colOff>
      <xdr:row>14</xdr:row>
      <xdr:rowOff>97144</xdr:rowOff>
    </xdr:from>
    <xdr:to>
      <xdr:col>7</xdr:col>
      <xdr:colOff>441043</xdr:colOff>
      <xdr:row>28</xdr:row>
      <xdr:rowOff>74361</xdr:rowOff>
    </xdr:to>
    <xdr:graphicFrame macro="">
      <xdr:nvGraphicFramePr>
        <xdr:cNvPr id="1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326189</xdr:colOff>
      <xdr:row>13</xdr:row>
      <xdr:rowOff>125217</xdr:rowOff>
    </xdr:from>
    <xdr:to>
      <xdr:col>11</xdr:col>
      <xdr:colOff>174120</xdr:colOff>
      <xdr:row>27</xdr:row>
      <xdr:rowOff>102434</xdr:rowOff>
    </xdr:to>
    <xdr:graphicFrame macro="">
      <xdr:nvGraphicFramePr>
        <xdr:cNvPr id="19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136358</xdr:colOff>
      <xdr:row>14</xdr:row>
      <xdr:rowOff>72189</xdr:rowOff>
    </xdr:from>
    <xdr:to>
      <xdr:col>3</xdr:col>
      <xdr:colOff>729916</xdr:colOff>
      <xdr:row>25</xdr:row>
      <xdr:rowOff>88230</xdr:rowOff>
    </xdr:to>
    <xdr:sp macro="" textlink="">
      <xdr:nvSpPr>
        <xdr:cNvPr id="23" name="22 Rectángulo"/>
        <xdr:cNvSpPr/>
      </xdr:nvSpPr>
      <xdr:spPr>
        <a:xfrm>
          <a:off x="1888958" y="2769669"/>
          <a:ext cx="593558" cy="144098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126999</xdr:colOff>
      <xdr:row>33</xdr:row>
      <xdr:rowOff>67288</xdr:rowOff>
    </xdr:from>
    <xdr:to>
      <xdr:col>3</xdr:col>
      <xdr:colOff>660398</xdr:colOff>
      <xdr:row>43</xdr:row>
      <xdr:rowOff>83330</xdr:rowOff>
    </xdr:to>
    <xdr:sp macro="" textlink="">
      <xdr:nvSpPr>
        <xdr:cNvPr id="27" name="26 Rectángulo"/>
        <xdr:cNvSpPr/>
      </xdr:nvSpPr>
      <xdr:spPr>
        <a:xfrm>
          <a:off x="1854199" y="5350488"/>
          <a:ext cx="533399" cy="1286042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448733</xdr:colOff>
      <xdr:row>32</xdr:row>
      <xdr:rowOff>84668</xdr:rowOff>
    </xdr:from>
    <xdr:to>
      <xdr:col>7</xdr:col>
      <xdr:colOff>245087</xdr:colOff>
      <xdr:row>42</xdr:row>
      <xdr:rowOff>76202</xdr:rowOff>
    </xdr:to>
    <xdr:sp macro="" textlink="">
      <xdr:nvSpPr>
        <xdr:cNvPr id="28" name="27 Rectángulo"/>
        <xdr:cNvSpPr/>
      </xdr:nvSpPr>
      <xdr:spPr>
        <a:xfrm>
          <a:off x="4538133" y="5240868"/>
          <a:ext cx="583754" cy="1261534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313267</xdr:colOff>
      <xdr:row>14</xdr:row>
      <xdr:rowOff>33867</xdr:rowOff>
    </xdr:from>
    <xdr:to>
      <xdr:col>11</xdr:col>
      <xdr:colOff>119425</xdr:colOff>
      <xdr:row>25</xdr:row>
      <xdr:rowOff>49908</xdr:rowOff>
    </xdr:to>
    <xdr:sp macro="" textlink="">
      <xdr:nvSpPr>
        <xdr:cNvPr id="38" name="37 Rectángulo"/>
        <xdr:cNvSpPr/>
      </xdr:nvSpPr>
      <xdr:spPr>
        <a:xfrm>
          <a:off x="7552267" y="2844800"/>
          <a:ext cx="593558" cy="141304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575733</xdr:colOff>
      <xdr:row>14</xdr:row>
      <xdr:rowOff>16933</xdr:rowOff>
    </xdr:from>
    <xdr:to>
      <xdr:col>7</xdr:col>
      <xdr:colOff>381891</xdr:colOff>
      <xdr:row>25</xdr:row>
      <xdr:rowOff>32974</xdr:rowOff>
    </xdr:to>
    <xdr:sp macro="" textlink="">
      <xdr:nvSpPr>
        <xdr:cNvPr id="39" name="38 Rectángulo"/>
        <xdr:cNvSpPr/>
      </xdr:nvSpPr>
      <xdr:spPr>
        <a:xfrm>
          <a:off x="4665133" y="2827866"/>
          <a:ext cx="593558" cy="141304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177800</xdr:colOff>
      <xdr:row>3</xdr:row>
      <xdr:rowOff>8467</xdr:rowOff>
    </xdr:from>
    <xdr:to>
      <xdr:col>11</xdr:col>
      <xdr:colOff>263359</xdr:colOff>
      <xdr:row>8</xdr:row>
      <xdr:rowOff>24508</xdr:rowOff>
    </xdr:to>
    <xdr:sp macro="" textlink="">
      <xdr:nvSpPr>
        <xdr:cNvPr id="40" name="39 Rectángulo"/>
        <xdr:cNvSpPr/>
      </xdr:nvSpPr>
      <xdr:spPr>
        <a:xfrm>
          <a:off x="7416800" y="635000"/>
          <a:ext cx="872959" cy="1413041"/>
        </a:xfrm>
        <a:prstGeom prst="rect">
          <a:avLst/>
        </a:prstGeom>
        <a:solidFill>
          <a:schemeClr val="bg1">
            <a:lumMod val="75000"/>
            <a:alpha val="22000"/>
          </a:schemeClr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21"/>
  <sheetViews>
    <sheetView showGridLines="0" tabSelected="1" workbookViewId="0"/>
  </sheetViews>
  <sheetFormatPr baseColWidth="10" defaultRowHeight="15.75" x14ac:dyDescent="0.25"/>
  <cols>
    <col min="1" max="1" width="4.28515625" customWidth="1"/>
    <col min="2" max="2" width="39.140625" style="168" customWidth="1"/>
  </cols>
  <sheetData>
    <row r="2" spans="1:5" x14ac:dyDescent="0.25">
      <c r="B2" s="167" t="s">
        <v>206</v>
      </c>
    </row>
    <row r="3" spans="1:5" ht="9" customHeight="1" x14ac:dyDescent="0.3"/>
    <row r="4" spans="1:5" ht="15" x14ac:dyDescent="0.25">
      <c r="B4" s="197" t="s">
        <v>200</v>
      </c>
    </row>
    <row r="5" spans="1:5" ht="5.45" customHeight="1" x14ac:dyDescent="0.3"/>
    <row r="6" spans="1:5" ht="15.6" x14ac:dyDescent="0.3">
      <c r="B6" s="167" t="s">
        <v>209</v>
      </c>
    </row>
    <row r="7" spans="1:5" ht="18.600000000000001" customHeight="1" x14ac:dyDescent="0.3">
      <c r="B7" s="181" t="s">
        <v>208</v>
      </c>
      <c r="C7" s="209" t="s">
        <v>207</v>
      </c>
      <c r="D7" s="178"/>
    </row>
    <row r="8" spans="1:5" ht="15" x14ac:dyDescent="0.25">
      <c r="B8" s="181" t="s">
        <v>178</v>
      </c>
      <c r="C8" s="178"/>
      <c r="D8" s="178"/>
    </row>
    <row r="10" spans="1:5" ht="15.6" x14ac:dyDescent="0.3">
      <c r="B10" s="167" t="s">
        <v>195</v>
      </c>
    </row>
    <row r="11" spans="1:5" ht="18.600000000000001" customHeight="1" x14ac:dyDescent="0.3">
      <c r="B11" s="181" t="s">
        <v>208</v>
      </c>
      <c r="C11" s="178"/>
      <c r="D11" s="178"/>
      <c r="E11" s="178"/>
    </row>
    <row r="12" spans="1:5" ht="15" x14ac:dyDescent="0.25">
      <c r="B12" s="181" t="s">
        <v>178</v>
      </c>
      <c r="C12" s="178"/>
      <c r="D12" s="178"/>
      <c r="E12" s="178"/>
    </row>
    <row r="13" spans="1:5" ht="15.6" x14ac:dyDescent="0.3">
      <c r="B13" s="180"/>
      <c r="C13" s="179"/>
      <c r="D13" s="179"/>
      <c r="E13" s="179"/>
    </row>
    <row r="14" spans="1:5" ht="15.6" x14ac:dyDescent="0.3">
      <c r="B14" s="167" t="s">
        <v>210</v>
      </c>
    </row>
    <row r="15" spans="1:5" ht="18.600000000000001" customHeight="1" x14ac:dyDescent="0.3">
      <c r="A15" s="179"/>
      <c r="B15" s="181" t="s">
        <v>208</v>
      </c>
      <c r="C15" s="178"/>
      <c r="D15" s="178"/>
      <c r="E15" s="179"/>
    </row>
    <row r="16" spans="1:5" ht="15" x14ac:dyDescent="0.25">
      <c r="A16" s="179"/>
      <c r="B16" s="181" t="s">
        <v>178</v>
      </c>
      <c r="C16" s="178"/>
      <c r="D16" s="178"/>
      <c r="E16" s="179"/>
    </row>
    <row r="17" spans="1:5" ht="15.6" x14ac:dyDescent="0.3">
      <c r="A17" s="179"/>
      <c r="B17" s="177"/>
      <c r="C17" s="178"/>
      <c r="D17" s="178"/>
      <c r="E17" s="179"/>
    </row>
    <row r="18" spans="1:5" ht="16.899999999999999" customHeight="1" x14ac:dyDescent="0.3">
      <c r="B18" s="167" t="s">
        <v>211</v>
      </c>
    </row>
    <row r="19" spans="1:5" ht="15.6" customHeight="1" x14ac:dyDescent="0.25">
      <c r="A19" s="179"/>
      <c r="B19" s="181" t="s">
        <v>208</v>
      </c>
      <c r="C19" s="178"/>
      <c r="D19" s="178"/>
    </row>
    <row r="20" spans="1:5" ht="15" x14ac:dyDescent="0.25">
      <c r="A20" s="179"/>
      <c r="B20" s="181" t="s">
        <v>194</v>
      </c>
      <c r="C20" s="178"/>
      <c r="D20" s="178"/>
    </row>
    <row r="21" spans="1:5" ht="15.6" x14ac:dyDescent="0.3">
      <c r="C21" s="182"/>
      <c r="D21" s="182"/>
    </row>
  </sheetData>
  <hyperlinks>
    <hyperlink ref="B4" location="Léeme!A1" display="Léeme: se aconseja su lectura para un buen funcionamiento de la hoja de cálculo."/>
    <hyperlink ref="B7" location="Resultados_trabajo!A1" display="- Supuestos a introducir"/>
    <hyperlink ref="B8" location="Cálculos_trabajo!A1" display="- Cálculo de Bases y Retenciones devengadas"/>
    <hyperlink ref="B11" location="Resultados_capital!A1" display="- Supuestos a introducir"/>
    <hyperlink ref="B12" location="Cálculos_capital!A1" display="- Cálculo de Bases y Retenciones devengadas"/>
    <hyperlink ref="B15" location="Resultados_actividad_eco!A1" display="- Supuestos a introducir"/>
    <hyperlink ref="B16" location="Cálculos_actividad_eco!A1" display="- Cálculo de Bases y Retenciones devengadas"/>
    <hyperlink ref="B20" location="Cálculos_IRPF!A1" display="- Cálculo ingresos por IRPF"/>
    <hyperlink ref="B19" location="Resultados_IRPF!A1" display="- Supuestos a introducir: Resultado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613"/>
  <sheetViews>
    <sheetView showGridLines="0" workbookViewId="0">
      <pane xSplit="1" ySplit="4" topLeftCell="B5" activePane="bottomRight" state="frozen"/>
      <selection activeCell="DS46" sqref="DS46"/>
      <selection pane="topRight" activeCell="DS46" sqref="DS46"/>
      <selection pane="bottomLeft" activeCell="DS46" sqref="DS46"/>
      <selection pane="bottomRight" activeCell="M31" sqref="M31"/>
    </sheetView>
  </sheetViews>
  <sheetFormatPr baseColWidth="10" defaultColWidth="11.42578125" defaultRowHeight="10.5" x14ac:dyDescent="0.15"/>
  <cols>
    <col min="1" max="1" width="11.7109375" style="3" customWidth="1"/>
    <col min="2" max="2" width="14.5703125" style="48" customWidth="1"/>
    <col min="3" max="3" width="3.140625" style="42" customWidth="1"/>
    <col min="4" max="5" width="11.7109375" style="3" customWidth="1"/>
    <col min="6" max="6" width="9.42578125" style="3" customWidth="1"/>
    <col min="7" max="7" width="9.85546875" style="3" customWidth="1"/>
    <col min="8" max="8" width="16" style="98" customWidth="1"/>
    <col min="9" max="12" width="11.5703125" style="3" customWidth="1"/>
    <col min="13" max="13" width="5.42578125" style="3" customWidth="1"/>
    <col min="14" max="15" width="11.7109375" style="3" customWidth="1"/>
    <col min="16" max="16" width="5.42578125" style="3" customWidth="1"/>
    <col min="17" max="18" width="12.28515625" style="36" customWidth="1"/>
    <col min="19" max="19" width="5.42578125" style="3" customWidth="1"/>
    <col min="20" max="20" width="15.28515625" style="3" customWidth="1"/>
    <col min="21" max="21" width="4.42578125" style="3" customWidth="1"/>
    <col min="22" max="22" width="13.85546875" style="3" customWidth="1"/>
    <col min="23" max="23" width="4.42578125" style="3" customWidth="1"/>
    <col min="24" max="24" width="11.7109375" style="3" customWidth="1"/>
    <col min="25" max="25" width="12.140625" style="3" customWidth="1"/>
    <col min="26" max="26" width="4.42578125" style="3" customWidth="1"/>
    <col min="27" max="30" width="11.7109375" style="3" customWidth="1"/>
    <col min="31" max="31" width="4.42578125" style="3" customWidth="1"/>
    <col min="32" max="32" width="12.140625" style="3" customWidth="1"/>
    <col min="33" max="33" width="4.7109375" style="3" customWidth="1"/>
    <col min="34" max="34" width="13.7109375" style="3" customWidth="1"/>
    <col min="35" max="35" width="4.7109375" style="3" customWidth="1"/>
    <col min="36" max="37" width="11.7109375" style="3" customWidth="1"/>
    <col min="38" max="38" width="4.7109375" style="3" customWidth="1"/>
    <col min="39" max="40" width="11.7109375" style="3" customWidth="1"/>
    <col min="41" max="41" width="4.7109375" style="3" customWidth="1"/>
    <col min="42" max="42" width="10.85546875" style="3" hidden="1" customWidth="1"/>
    <col min="43" max="44" width="11.7109375" style="3" hidden="1" customWidth="1"/>
    <col min="45" max="45" width="4.7109375" style="3" hidden="1" customWidth="1"/>
    <col min="46" max="47" width="11.7109375" style="3" hidden="1" customWidth="1"/>
    <col min="48" max="48" width="4.7109375" style="3" hidden="1" customWidth="1"/>
    <col min="49" max="50" width="11.7109375" style="3" hidden="1" customWidth="1"/>
    <col min="51" max="51" width="5.140625" style="3" hidden="1" customWidth="1"/>
    <col min="52" max="52" width="11.7109375" style="3" hidden="1" customWidth="1"/>
    <col min="53" max="53" width="11" style="3" hidden="1" customWidth="1"/>
    <col min="54" max="54" width="5.140625" style="3" customWidth="1"/>
    <col min="55" max="56" width="11.7109375" style="3" customWidth="1"/>
    <col min="57" max="57" width="9.42578125" style="3" customWidth="1"/>
    <col min="58" max="58" width="11.7109375" style="3" customWidth="1"/>
    <col min="59" max="59" width="4.85546875" style="3" customWidth="1"/>
    <col min="60" max="60" width="9" style="3" customWidth="1"/>
    <col min="61" max="61" width="11.7109375" style="3" customWidth="1"/>
    <col min="62" max="62" width="11.7109375" style="42" customWidth="1"/>
    <col min="63" max="63" width="9" style="3" customWidth="1"/>
    <col min="64" max="65" width="11.7109375" style="48" customWidth="1"/>
    <col min="66" max="66" width="4.7109375" style="3" customWidth="1"/>
    <col min="67" max="68" width="11.7109375" style="3" hidden="1" customWidth="1"/>
    <col min="69" max="69" width="6.28515625" style="3" hidden="1" customWidth="1"/>
    <col min="70" max="71" width="11.7109375" style="3" hidden="1" customWidth="1"/>
    <col min="72" max="72" width="6.140625" style="3" hidden="1" customWidth="1"/>
    <col min="73" max="74" width="11.7109375" style="3" hidden="1" customWidth="1"/>
    <col min="75" max="75" width="6.28515625" style="3" hidden="1" customWidth="1"/>
    <col min="76" max="76" width="11.7109375" style="52" customWidth="1"/>
    <col min="77" max="78" width="11.7109375" style="3" hidden="1" customWidth="1"/>
    <col min="79" max="79" width="11.7109375" style="3" customWidth="1"/>
    <col min="80" max="16384" width="11.42578125" style="3"/>
  </cols>
  <sheetData>
    <row r="1" spans="1:80" ht="15.75" customHeight="1" x14ac:dyDescent="0.15">
      <c r="A1" s="1"/>
      <c r="B1" s="93"/>
      <c r="C1" s="1"/>
      <c r="D1" s="241" t="s">
        <v>0</v>
      </c>
      <c r="E1" s="242"/>
      <c r="F1" s="242"/>
      <c r="G1" s="243"/>
      <c r="H1" s="96" t="s">
        <v>156</v>
      </c>
      <c r="I1" s="235" t="s">
        <v>1</v>
      </c>
      <c r="J1" s="235"/>
      <c r="K1" s="235"/>
      <c r="L1" s="235"/>
      <c r="M1" s="1"/>
      <c r="N1" s="235" t="s">
        <v>2</v>
      </c>
      <c r="O1" s="235"/>
      <c r="P1" s="1"/>
      <c r="Q1" s="235" t="s">
        <v>3</v>
      </c>
      <c r="R1" s="235"/>
      <c r="S1" s="1"/>
      <c r="T1" s="31" t="s">
        <v>111</v>
      </c>
      <c r="U1" s="1"/>
      <c r="V1" s="31" t="s">
        <v>5</v>
      </c>
      <c r="W1" s="1"/>
      <c r="X1" s="235" t="s">
        <v>6</v>
      </c>
      <c r="Y1" s="235"/>
      <c r="Z1" s="1"/>
      <c r="AA1" s="235" t="s">
        <v>7</v>
      </c>
      <c r="AB1" s="235"/>
      <c r="AC1" s="235"/>
      <c r="AD1" s="235"/>
      <c r="AE1" s="1"/>
      <c r="AF1" s="31" t="s">
        <v>8</v>
      </c>
      <c r="AG1" s="1"/>
      <c r="AH1" s="31" t="s">
        <v>9</v>
      </c>
      <c r="AI1" s="1"/>
      <c r="AJ1" s="2" t="s">
        <v>10</v>
      </c>
      <c r="AK1" s="2"/>
      <c r="AM1" s="240" t="s">
        <v>11</v>
      </c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C1" s="239" t="s">
        <v>146</v>
      </c>
      <c r="BD1" s="239"/>
      <c r="BE1" s="239"/>
      <c r="BF1" s="239"/>
      <c r="BH1" s="239" t="s">
        <v>13</v>
      </c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</row>
    <row r="2" spans="1:80" x14ac:dyDescent="0.15">
      <c r="A2" s="1"/>
      <c r="B2" s="85"/>
      <c r="C2" s="1"/>
      <c r="D2" s="1"/>
      <c r="E2" s="1"/>
      <c r="F2" s="1"/>
      <c r="G2" s="1"/>
      <c r="H2" s="97"/>
      <c r="I2" s="4"/>
      <c r="J2" s="4"/>
      <c r="K2" s="4"/>
      <c r="L2" s="4"/>
      <c r="M2" s="1"/>
      <c r="N2" s="1"/>
      <c r="O2" s="1"/>
      <c r="P2" s="4"/>
      <c r="Q2" s="40"/>
      <c r="R2" s="40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15</v>
      </c>
      <c r="AK2" s="2"/>
    </row>
    <row r="3" spans="1:80" ht="86.25" customHeight="1" x14ac:dyDescent="0.15">
      <c r="A3" s="183" t="s">
        <v>196</v>
      </c>
      <c r="B3" s="84" t="s">
        <v>155</v>
      </c>
      <c r="C3" s="1"/>
      <c r="D3" s="6" t="s">
        <v>174</v>
      </c>
      <c r="E3" s="7" t="s">
        <v>175</v>
      </c>
      <c r="F3" s="8"/>
      <c r="G3" s="7" t="s">
        <v>123</v>
      </c>
      <c r="H3" s="99" t="s">
        <v>173</v>
      </c>
      <c r="I3" s="6" t="s">
        <v>112</v>
      </c>
      <c r="J3" s="6" t="s">
        <v>113</v>
      </c>
      <c r="K3" s="6" t="s">
        <v>114</v>
      </c>
      <c r="L3" s="6" t="s">
        <v>115</v>
      </c>
      <c r="M3" s="8"/>
      <c r="N3" s="6" t="s">
        <v>116</v>
      </c>
      <c r="O3" s="6" t="s">
        <v>117</v>
      </c>
      <c r="Q3" s="6" t="s">
        <v>116</v>
      </c>
      <c r="R3" s="6" t="s">
        <v>117</v>
      </c>
      <c r="T3" s="6" t="s">
        <v>32</v>
      </c>
      <c r="U3" s="9"/>
      <c r="V3" s="6" t="s">
        <v>118</v>
      </c>
      <c r="W3" s="9"/>
      <c r="X3" s="6" t="s">
        <v>119</v>
      </c>
      <c r="Y3" s="6" t="s">
        <v>120</v>
      </c>
      <c r="Z3" s="9"/>
      <c r="AA3" s="6" t="s">
        <v>119</v>
      </c>
      <c r="AB3" s="6" t="s">
        <v>120</v>
      </c>
      <c r="AC3" s="6" t="s">
        <v>121</v>
      </c>
      <c r="AD3" s="6" t="s">
        <v>122</v>
      </c>
      <c r="AE3" s="9"/>
      <c r="AF3" s="6" t="s">
        <v>123</v>
      </c>
      <c r="AG3" s="9"/>
      <c r="AH3" s="6" t="s">
        <v>124</v>
      </c>
      <c r="AI3" s="9"/>
      <c r="AJ3" s="6" t="s">
        <v>116</v>
      </c>
      <c r="AK3" s="6" t="s">
        <v>117</v>
      </c>
      <c r="AM3" s="6" t="s">
        <v>123</v>
      </c>
      <c r="AN3" s="6" t="s">
        <v>252</v>
      </c>
      <c r="AP3" s="6" t="s">
        <v>55</v>
      </c>
      <c r="AQ3" s="6" t="s">
        <v>56</v>
      </c>
      <c r="AR3" s="6" t="s">
        <v>57</v>
      </c>
      <c r="AT3" s="6" t="s">
        <v>58</v>
      </c>
      <c r="AU3" s="6" t="s">
        <v>59</v>
      </c>
      <c r="AW3" s="6" t="s">
        <v>60</v>
      </c>
      <c r="AX3" s="6" t="s">
        <v>61</v>
      </c>
      <c r="AZ3" s="6" t="s">
        <v>62</v>
      </c>
      <c r="BA3" s="6" t="s">
        <v>63</v>
      </c>
      <c r="BC3" s="6" t="s">
        <v>125</v>
      </c>
      <c r="BD3" s="6" t="s">
        <v>126</v>
      </c>
      <c r="BE3" s="7" t="s">
        <v>139</v>
      </c>
      <c r="BF3" s="6" t="s">
        <v>222</v>
      </c>
      <c r="BH3" s="6" t="s">
        <v>129</v>
      </c>
      <c r="BI3" s="6" t="s">
        <v>130</v>
      </c>
      <c r="BJ3" s="53" t="s">
        <v>124</v>
      </c>
      <c r="BK3" s="6" t="s">
        <v>128</v>
      </c>
      <c r="BL3" s="84" t="s">
        <v>140</v>
      </c>
      <c r="BM3" s="84" t="s">
        <v>249</v>
      </c>
      <c r="BO3" s="6" t="s">
        <v>64</v>
      </c>
      <c r="BP3" s="6" t="s">
        <v>65</v>
      </c>
      <c r="BR3" s="6" t="s">
        <v>66</v>
      </c>
      <c r="BS3" s="6" t="s">
        <v>67</v>
      </c>
      <c r="BU3" s="6" t="s">
        <v>68</v>
      </c>
      <c r="BV3" s="6" t="s">
        <v>69</v>
      </c>
      <c r="BX3" s="163" t="s">
        <v>229</v>
      </c>
      <c r="BY3" s="6" t="s">
        <v>70</v>
      </c>
      <c r="BZ3" s="6" t="s">
        <v>71</v>
      </c>
    </row>
    <row r="4" spans="1:80" s="1" customFormat="1" ht="30.75" customHeight="1" x14ac:dyDescent="0.25">
      <c r="A4" s="10" t="s">
        <v>75</v>
      </c>
      <c r="B4" s="94"/>
      <c r="C4" s="57"/>
      <c r="D4" s="160"/>
      <c r="E4" s="160"/>
      <c r="F4" s="161" t="s">
        <v>131</v>
      </c>
      <c r="G4" s="161"/>
      <c r="H4" s="162"/>
      <c r="N4" s="49"/>
      <c r="O4" s="49"/>
      <c r="Q4" s="1">
        <v>0.99213899999999999</v>
      </c>
      <c r="R4" s="1">
        <v>0.11289</v>
      </c>
      <c r="T4" s="11">
        <v>0</v>
      </c>
      <c r="U4" s="11"/>
      <c r="V4" s="11"/>
      <c r="W4" s="11"/>
      <c r="X4" s="11"/>
      <c r="Y4" s="11"/>
      <c r="Z4" s="11"/>
      <c r="AA4" s="11">
        <v>0.96270900000000004</v>
      </c>
      <c r="AB4" s="11">
        <v>0.12814800000000001</v>
      </c>
      <c r="AC4" s="11">
        <v>-0.31046699999999999</v>
      </c>
      <c r="AD4" s="11">
        <v>0</v>
      </c>
      <c r="AE4" s="11"/>
      <c r="AF4" s="11"/>
      <c r="AG4" s="9"/>
      <c r="AH4" s="11"/>
      <c r="AI4" s="9"/>
      <c r="AJ4" s="9"/>
      <c r="AK4" s="9"/>
      <c r="AM4" s="11" t="s">
        <v>76</v>
      </c>
      <c r="AN4" s="11" t="s">
        <v>77</v>
      </c>
      <c r="BJ4" s="46"/>
      <c r="BL4" s="100"/>
      <c r="BM4" s="85"/>
      <c r="BX4" s="100"/>
    </row>
    <row r="5" spans="1:80" ht="15.75" customHeight="1" x14ac:dyDescent="0.15">
      <c r="A5" s="12">
        <v>1995</v>
      </c>
      <c r="B5" s="95"/>
      <c r="C5" s="12"/>
      <c r="D5" s="44">
        <f t="shared" ref="D5:D11" si="0">+D6*(1-F6/100)</f>
        <v>9966.6124162571741</v>
      </c>
      <c r="E5" s="44">
        <v>22924.405666883031</v>
      </c>
      <c r="F5" s="157"/>
      <c r="G5" s="157">
        <f>+E5+D5</f>
        <v>32891.018083140203</v>
      </c>
      <c r="H5" s="91"/>
      <c r="I5" s="14"/>
      <c r="J5" s="14">
        <f t="shared" ref="J5:K23" si="1">LN(D5)</f>
        <v>9.2069960275109555</v>
      </c>
      <c r="K5" s="14"/>
      <c r="L5" s="14">
        <f>LN(G5)</f>
        <v>10.400954892888896</v>
      </c>
      <c r="M5" s="12"/>
      <c r="N5" s="120">
        <v>13284.899999999998</v>
      </c>
      <c r="O5" s="120">
        <v>5363.2087684131702</v>
      </c>
      <c r="P5" s="14"/>
      <c r="Q5" s="32">
        <f t="shared" ref="Q5:Q28" si="2">LN(N5)</f>
        <v>9.4943833308791703</v>
      </c>
      <c r="R5" s="32">
        <f t="shared" ref="R5:R28" si="3">LN(O5)</f>
        <v>8.5873177257682798</v>
      </c>
      <c r="S5" s="14"/>
      <c r="T5" s="14"/>
      <c r="U5" s="14"/>
      <c r="V5" s="14">
        <f t="shared" ref="V5:V28" si="4">AM5-$T$4-$Q$4*Q5-$R$4*R5</f>
        <v>1.1784611311784765E-2</v>
      </c>
      <c r="W5" s="14"/>
      <c r="X5" s="14"/>
      <c r="Y5" s="14"/>
      <c r="Z5" s="14"/>
      <c r="AA5" s="14"/>
      <c r="AB5" s="14"/>
      <c r="AC5" s="15"/>
      <c r="AD5" s="14"/>
      <c r="AE5" s="14"/>
      <c r="AF5" s="15"/>
      <c r="AG5" s="16"/>
      <c r="AH5" s="15"/>
      <c r="AI5" s="16"/>
      <c r="AJ5" s="16"/>
      <c r="AK5" s="16"/>
      <c r="AM5" s="17">
        <f t="shared" ref="AM5:AM23" si="5">+L5</f>
        <v>10.400954892888896</v>
      </c>
      <c r="AN5" s="18">
        <f t="shared" ref="AN5:AN28" si="6">+EXP(AM5)</f>
        <v>32891.018083140174</v>
      </c>
      <c r="AP5" s="14"/>
      <c r="AQ5" s="14"/>
      <c r="AR5" s="14"/>
      <c r="AT5" s="18"/>
      <c r="AU5" s="18"/>
      <c r="AW5" s="18"/>
      <c r="AX5" s="18"/>
      <c r="AZ5" s="18"/>
      <c r="BA5" s="18"/>
      <c r="BC5" s="19"/>
      <c r="BD5" s="19"/>
      <c r="BE5" s="19"/>
      <c r="BF5" s="19"/>
      <c r="BH5" s="19"/>
      <c r="BI5" s="19"/>
      <c r="BJ5" s="51"/>
      <c r="BK5" s="19"/>
      <c r="BL5" s="91"/>
      <c r="BO5" s="18"/>
      <c r="BP5" s="18"/>
      <c r="BR5" s="18"/>
      <c r="BS5" s="18"/>
      <c r="BU5" s="18"/>
      <c r="BV5" s="18"/>
      <c r="BY5" s="20"/>
      <c r="BZ5" s="20"/>
    </row>
    <row r="6" spans="1:80" x14ac:dyDescent="0.15">
      <c r="A6" s="12">
        <f>A5+1</f>
        <v>1996</v>
      </c>
      <c r="B6" s="95"/>
      <c r="C6" s="12"/>
      <c r="D6" s="44">
        <f t="shared" si="0"/>
        <v>10469.130689345771</v>
      </c>
      <c r="E6" s="44">
        <v>22986.786617557966</v>
      </c>
      <c r="F6" s="44">
        <v>4.8</v>
      </c>
      <c r="G6" s="157">
        <f t="shared" ref="G6:G23" si="7">+E6+D6</f>
        <v>33455.917306903735</v>
      </c>
      <c r="H6" s="91"/>
      <c r="I6" s="14"/>
      <c r="J6" s="14">
        <f t="shared" si="1"/>
        <v>9.2561862717017274</v>
      </c>
      <c r="K6" s="14">
        <f t="shared" si="1"/>
        <v>10.042674834937085</v>
      </c>
      <c r="L6" s="14">
        <f t="shared" ref="L6:L23" si="8">LN(G6)</f>
        <v>10.417983949968317</v>
      </c>
      <c r="M6" s="12"/>
      <c r="N6" s="120">
        <v>13450.3</v>
      </c>
      <c r="O6" s="120">
        <v>6377.6151637606199</v>
      </c>
      <c r="P6" s="14"/>
      <c r="Q6" s="32">
        <f t="shared" si="2"/>
        <v>9.5067566896139493</v>
      </c>
      <c r="R6" s="32">
        <f t="shared" si="3"/>
        <v>8.7605495076750532</v>
      </c>
      <c r="S6" s="14"/>
      <c r="T6" s="14"/>
      <c r="U6" s="14"/>
      <c r="V6" s="14">
        <f t="shared" si="4"/>
        <v>-3.0185592300141506E-3</v>
      </c>
      <c r="W6" s="14"/>
      <c r="X6" s="14">
        <f t="shared" ref="X6:X28" si="9">Q6-Q5</f>
        <v>1.2373358734778961E-2</v>
      </c>
      <c r="Y6" s="14">
        <f t="shared" ref="Y6:Y28" si="10">R6-R5</f>
        <v>0.17323178190677346</v>
      </c>
      <c r="Z6" s="14"/>
      <c r="AA6" s="14">
        <f t="shared" ref="AA6:AA28" si="11">+X6*$AA$4</f>
        <v>1.191194381420032E-2</v>
      </c>
      <c r="AB6" s="14"/>
      <c r="AC6" s="15"/>
      <c r="AD6" s="14">
        <f t="shared" ref="AD6:AD28" si="12">+AD4</f>
        <v>0</v>
      </c>
      <c r="AE6" s="14"/>
      <c r="AF6" s="15"/>
      <c r="AG6" s="16"/>
      <c r="AH6" s="15"/>
      <c r="AI6" s="16"/>
      <c r="AJ6" s="33">
        <f t="shared" ref="AJ6:AJ23" si="13">(N6/N5-1)*100</f>
        <v>1.2450225443925156</v>
      </c>
      <c r="AK6" s="33">
        <f t="shared" ref="AK6:AK23" si="14">(O6/O5-1)*100</f>
        <v>18.914169467387442</v>
      </c>
      <c r="AM6" s="17">
        <f t="shared" si="5"/>
        <v>10.417983949968317</v>
      </c>
      <c r="AN6" s="18">
        <f t="shared" si="6"/>
        <v>33455.917306903721</v>
      </c>
      <c r="AP6" s="14"/>
      <c r="AQ6" s="14"/>
      <c r="AR6" s="14"/>
      <c r="AT6" s="18"/>
      <c r="AU6" s="18"/>
      <c r="AW6" s="18"/>
      <c r="AX6" s="18"/>
      <c r="AZ6" s="18"/>
      <c r="BA6" s="18"/>
      <c r="BC6" s="19"/>
      <c r="BD6" s="19"/>
      <c r="BE6" s="19"/>
      <c r="BF6" s="19"/>
      <c r="BH6" s="19"/>
      <c r="BI6" s="19"/>
      <c r="BJ6" s="51"/>
      <c r="BK6" s="19"/>
      <c r="BL6" s="91"/>
      <c r="BO6" s="18"/>
      <c r="BP6" s="18"/>
      <c r="BR6" s="18"/>
      <c r="BS6" s="18"/>
      <c r="BU6" s="18"/>
      <c r="BV6" s="18"/>
      <c r="BY6" s="20"/>
      <c r="BZ6" s="20"/>
    </row>
    <row r="7" spans="1:80" x14ac:dyDescent="0.15">
      <c r="A7" s="12">
        <f t="shared" ref="A7:A27" si="15">A6+1</f>
        <v>1997</v>
      </c>
      <c r="B7" s="95"/>
      <c r="C7" s="12"/>
      <c r="D7" s="44">
        <f t="shared" si="0"/>
        <v>11697.352725526001</v>
      </c>
      <c r="E7" s="44">
        <v>24257.03535027587</v>
      </c>
      <c r="F7" s="44">
        <v>10.5</v>
      </c>
      <c r="G7" s="157">
        <f t="shared" si="7"/>
        <v>35954.388075801871</v>
      </c>
      <c r="H7" s="91"/>
      <c r="I7" s="14"/>
      <c r="J7" s="14">
        <f t="shared" si="1"/>
        <v>9.3671178324090079</v>
      </c>
      <c r="K7" s="14">
        <f t="shared" si="1"/>
        <v>10.096461971826823</v>
      </c>
      <c r="L7" s="14">
        <f t="shared" si="8"/>
        <v>10.490006416223414</v>
      </c>
      <c r="M7" s="12"/>
      <c r="N7" s="120">
        <v>13927.7</v>
      </c>
      <c r="O7" s="120">
        <v>7571.9633036089554</v>
      </c>
      <c r="P7" s="14"/>
      <c r="Q7" s="32">
        <f t="shared" si="2"/>
        <v>9.5416349418708464</v>
      </c>
      <c r="R7" s="32">
        <f t="shared" si="3"/>
        <v>8.9322076659900738</v>
      </c>
      <c r="S7" s="14"/>
      <c r="T7" s="14"/>
      <c r="U7" s="14"/>
      <c r="V7" s="14">
        <f t="shared" si="4"/>
        <v>1.5021343216994332E-2</v>
      </c>
      <c r="W7" s="14"/>
      <c r="X7" s="14">
        <f t="shared" si="9"/>
        <v>3.4878252256897113E-2</v>
      </c>
      <c r="Y7" s="14">
        <f t="shared" si="10"/>
        <v>0.17165815831502051</v>
      </c>
      <c r="Z7" s="14"/>
      <c r="AA7" s="14">
        <f t="shared" si="11"/>
        <v>3.3577607351985166E-2</v>
      </c>
      <c r="AB7" s="14">
        <f t="shared" ref="AB7:AB28" si="16">+Y6*$AB$4</f>
        <v>2.2199306387789209E-2</v>
      </c>
      <c r="AC7" s="15">
        <f t="shared" ref="AC7:AC28" si="17">+$AC$4*V6</f>
        <v>9.3716302846480329E-4</v>
      </c>
      <c r="AD7" s="14">
        <f t="shared" si="12"/>
        <v>0</v>
      </c>
      <c r="AE7" s="14"/>
      <c r="AF7" s="34">
        <f t="shared" ref="AF7:AF28" si="18">+AA7+AB7+AC7+AD7</f>
        <v>5.6714076768239183E-2</v>
      </c>
      <c r="AG7" s="16"/>
      <c r="AH7" s="34">
        <f t="shared" ref="AH7:AH23" si="19">+(L7-L6)-AF7</f>
        <v>1.5308389486858046E-2</v>
      </c>
      <c r="AI7" s="16"/>
      <c r="AJ7" s="33">
        <f t="shared" si="13"/>
        <v>3.5493632112294948</v>
      </c>
      <c r="AK7" s="33">
        <f t="shared" si="14"/>
        <v>18.727190480776468</v>
      </c>
      <c r="AM7" s="17">
        <f t="shared" si="5"/>
        <v>10.490006416223414</v>
      </c>
      <c r="AN7" s="18">
        <f t="shared" si="6"/>
        <v>35954.388075801879</v>
      </c>
      <c r="AP7" s="14"/>
      <c r="AQ7" s="14"/>
      <c r="AR7" s="14"/>
      <c r="AT7" s="18"/>
      <c r="AU7" s="18"/>
      <c r="AW7" s="18"/>
      <c r="AX7" s="18"/>
      <c r="AZ7" s="18"/>
      <c r="BA7" s="18"/>
      <c r="BC7" s="19"/>
      <c r="BD7" s="19"/>
      <c r="BE7" s="19"/>
      <c r="BF7" s="19"/>
      <c r="BH7" s="19"/>
      <c r="BI7" s="19"/>
      <c r="BJ7" s="51"/>
      <c r="BK7" s="19"/>
      <c r="BL7" s="91"/>
      <c r="BO7" s="18"/>
      <c r="BP7" s="18"/>
      <c r="BR7" s="18"/>
      <c r="BS7" s="18"/>
      <c r="BU7" s="18"/>
      <c r="BV7" s="18"/>
      <c r="BY7" s="20"/>
      <c r="BZ7" s="20"/>
    </row>
    <row r="8" spans="1:80" x14ac:dyDescent="0.15">
      <c r="A8" s="12">
        <f t="shared" si="15"/>
        <v>1998</v>
      </c>
      <c r="B8" s="95"/>
      <c r="C8" s="12"/>
      <c r="D8" s="44">
        <f t="shared" si="0"/>
        <v>12338.979668276374</v>
      </c>
      <c r="E8" s="44">
        <v>25076.461442903848</v>
      </c>
      <c r="F8" s="44">
        <v>5.2</v>
      </c>
      <c r="G8" s="157">
        <f t="shared" si="7"/>
        <v>37415.441111180218</v>
      </c>
      <c r="H8" s="91"/>
      <c r="I8" s="14"/>
      <c r="J8" s="14">
        <f t="shared" si="1"/>
        <v>9.4205186091361242</v>
      </c>
      <c r="K8" s="14">
        <f t="shared" si="1"/>
        <v>10.129684893999308</v>
      </c>
      <c r="L8" s="14">
        <f t="shared" si="8"/>
        <v>10.52983876213306</v>
      </c>
      <c r="M8" s="12"/>
      <c r="N8" s="120">
        <v>14517.099999999999</v>
      </c>
      <c r="O8" s="120">
        <v>9098.6060734321363</v>
      </c>
      <c r="P8" s="14"/>
      <c r="Q8" s="32">
        <f t="shared" si="2"/>
        <v>9.5830825439132834</v>
      </c>
      <c r="R8" s="32">
        <f t="shared" si="3"/>
        <v>9.1158765020281578</v>
      </c>
      <c r="S8" s="14"/>
      <c r="T8" s="14"/>
      <c r="U8" s="14"/>
      <c r="V8" s="14">
        <f t="shared" si="4"/>
        <v>-7.0024682164799845E-3</v>
      </c>
      <c r="W8" s="14"/>
      <c r="X8" s="14">
        <f t="shared" si="9"/>
        <v>4.1447602042437026E-2</v>
      </c>
      <c r="Y8" s="14">
        <f t="shared" si="10"/>
        <v>0.18366883603808404</v>
      </c>
      <c r="Z8" s="14"/>
      <c r="AA8" s="14">
        <f t="shared" si="11"/>
        <v>3.990197951467251E-2</v>
      </c>
      <c r="AB8" s="14">
        <f t="shared" si="16"/>
        <v>2.1997649671753251E-2</v>
      </c>
      <c r="AC8" s="15">
        <f t="shared" si="17"/>
        <v>-4.6636313645505795E-3</v>
      </c>
      <c r="AD8" s="14">
        <f t="shared" si="12"/>
        <v>0</v>
      </c>
      <c r="AE8" s="14"/>
      <c r="AF8" s="34">
        <f t="shared" si="18"/>
        <v>5.7235997821875183E-2</v>
      </c>
      <c r="AG8" s="16"/>
      <c r="AH8" s="34">
        <f t="shared" si="19"/>
        <v>-1.7403651912228833E-2</v>
      </c>
      <c r="AI8" s="16"/>
      <c r="AJ8" s="33">
        <f t="shared" si="13"/>
        <v>4.2318545057690615</v>
      </c>
      <c r="AK8" s="33">
        <f t="shared" si="14"/>
        <v>20.161782467904345</v>
      </c>
      <c r="AM8" s="17">
        <f t="shared" si="5"/>
        <v>10.52983876213306</v>
      </c>
      <c r="AN8" s="18">
        <f t="shared" si="6"/>
        <v>37415.44111118024</v>
      </c>
      <c r="AP8" s="14"/>
      <c r="AQ8" s="14"/>
      <c r="AR8" s="14"/>
      <c r="AT8" s="18"/>
      <c r="AU8" s="18"/>
      <c r="AW8" s="18"/>
      <c r="AX8" s="18"/>
      <c r="AZ8" s="18"/>
      <c r="BA8" s="18"/>
      <c r="BC8" s="19"/>
      <c r="BD8" s="19"/>
      <c r="BE8" s="19"/>
      <c r="BF8" s="19"/>
      <c r="BH8" s="19"/>
      <c r="BI8" s="19"/>
      <c r="BJ8" s="51"/>
      <c r="BK8" s="19"/>
      <c r="BL8" s="91"/>
      <c r="BO8" s="18"/>
      <c r="BP8" s="18"/>
      <c r="BR8" s="18"/>
      <c r="BS8" s="18"/>
      <c r="BU8" s="18"/>
      <c r="BV8" s="18"/>
      <c r="BY8" s="20"/>
      <c r="BZ8" s="20"/>
    </row>
    <row r="9" spans="1:80" x14ac:dyDescent="0.15">
      <c r="A9" s="12">
        <f t="shared" si="15"/>
        <v>1999</v>
      </c>
      <c r="B9" s="95"/>
      <c r="C9" s="12"/>
      <c r="D9" s="44">
        <f t="shared" si="0"/>
        <v>12839.729103305281</v>
      </c>
      <c r="E9" s="44">
        <v>25921.991008167755</v>
      </c>
      <c r="F9" s="44">
        <v>3.9</v>
      </c>
      <c r="G9" s="157">
        <f t="shared" si="7"/>
        <v>38761.720111473034</v>
      </c>
      <c r="H9" s="91"/>
      <c r="I9" s="14"/>
      <c r="J9" s="14">
        <f t="shared" si="1"/>
        <v>9.4602994791479684</v>
      </c>
      <c r="K9" s="14">
        <f t="shared" si="1"/>
        <v>10.162846961102918</v>
      </c>
      <c r="L9" s="14">
        <f t="shared" si="8"/>
        <v>10.565188443540981</v>
      </c>
      <c r="M9" s="12"/>
      <c r="N9" s="120">
        <v>15186.599999999999</v>
      </c>
      <c r="O9" s="120">
        <v>10717.583052639084</v>
      </c>
      <c r="P9" s="14"/>
      <c r="Q9" s="32">
        <f t="shared" si="2"/>
        <v>9.6281687390677462</v>
      </c>
      <c r="R9" s="32">
        <f t="shared" si="3"/>
        <v>9.2796409476969774</v>
      </c>
      <c r="S9" s="14"/>
      <c r="T9" s="14"/>
      <c r="U9" s="14"/>
      <c r="V9" s="14">
        <f t="shared" si="4"/>
        <v>-3.4871927654466006E-2</v>
      </c>
      <c r="W9" s="14"/>
      <c r="X9" s="14">
        <f t="shared" si="9"/>
        <v>4.5086195154462771E-2</v>
      </c>
      <c r="Y9" s="14">
        <f t="shared" si="10"/>
        <v>0.16376444566881965</v>
      </c>
      <c r="Z9" s="14"/>
      <c r="AA9" s="14">
        <f t="shared" si="11"/>
        <v>4.3404885850957704E-2</v>
      </c>
      <c r="AB9" s="14">
        <f t="shared" si="16"/>
        <v>2.3536794000608395E-2</v>
      </c>
      <c r="AC9" s="15">
        <f t="shared" si="17"/>
        <v>2.1740352997658913E-3</v>
      </c>
      <c r="AD9" s="14">
        <f t="shared" si="12"/>
        <v>0</v>
      </c>
      <c r="AE9" s="14"/>
      <c r="AF9" s="34">
        <f t="shared" si="18"/>
        <v>6.9115715151331997E-2</v>
      </c>
      <c r="AG9" s="16"/>
      <c r="AH9" s="34">
        <f t="shared" si="19"/>
        <v>-3.3766033743411611E-2</v>
      </c>
      <c r="AI9" s="16"/>
      <c r="AJ9" s="33">
        <f t="shared" si="13"/>
        <v>4.6118026327572226</v>
      </c>
      <c r="AK9" s="33">
        <f t="shared" si="14"/>
        <v>17.793681429228457</v>
      </c>
      <c r="AM9" s="17">
        <f t="shared" si="5"/>
        <v>10.565188443540981</v>
      </c>
      <c r="AN9" s="18">
        <f t="shared" si="6"/>
        <v>38761.72011147302</v>
      </c>
      <c r="AP9" s="14"/>
      <c r="AQ9" s="14"/>
      <c r="AR9" s="14"/>
      <c r="AT9" s="18"/>
      <c r="AU9" s="18"/>
      <c r="AW9" s="18"/>
      <c r="AX9" s="18"/>
      <c r="AZ9" s="18"/>
      <c r="BA9" s="18"/>
      <c r="BC9" s="19"/>
      <c r="BD9" s="19"/>
      <c r="BE9" s="19"/>
      <c r="BF9" s="19"/>
      <c r="BH9" s="19"/>
      <c r="BI9" s="19"/>
      <c r="BJ9" s="51"/>
      <c r="BK9" s="19"/>
      <c r="BL9" s="91"/>
      <c r="BO9" s="18"/>
      <c r="BP9" s="18"/>
      <c r="BR9" s="18"/>
      <c r="BS9" s="18"/>
      <c r="BU9" s="18"/>
      <c r="BV9" s="18"/>
      <c r="BY9" s="20"/>
      <c r="BZ9" s="20"/>
    </row>
    <row r="10" spans="1:80" x14ac:dyDescent="0.15">
      <c r="A10" s="12">
        <f t="shared" si="15"/>
        <v>2000</v>
      </c>
      <c r="B10" s="95"/>
      <c r="C10" s="12"/>
      <c r="D10" s="44">
        <f t="shared" si="0"/>
        <v>13659.286280112001</v>
      </c>
      <c r="E10" s="44">
        <v>26445.538769854433</v>
      </c>
      <c r="F10" s="44">
        <v>6</v>
      </c>
      <c r="G10" s="157">
        <f t="shared" si="7"/>
        <v>40104.825049966435</v>
      </c>
      <c r="H10" s="91"/>
      <c r="I10" s="14"/>
      <c r="J10" s="14">
        <f t="shared" si="1"/>
        <v>9.5221748828660555</v>
      </c>
      <c r="K10" s="14">
        <f t="shared" si="1"/>
        <v>10.182842756514498</v>
      </c>
      <c r="L10" s="14">
        <f t="shared" si="8"/>
        <v>10.599251931491708</v>
      </c>
      <c r="M10" s="12"/>
      <c r="N10" s="120">
        <v>15923.600000000002</v>
      </c>
      <c r="O10" s="120">
        <v>12524.828264419673</v>
      </c>
      <c r="P10" s="14"/>
      <c r="Q10" s="32">
        <f t="shared" si="2"/>
        <v>9.6755575644879581</v>
      </c>
      <c r="R10" s="32">
        <f t="shared" si="3"/>
        <v>9.4354682144354847</v>
      </c>
      <c r="S10" s="14"/>
      <c r="T10" s="14"/>
      <c r="U10" s="14"/>
      <c r="V10" s="14">
        <f t="shared" si="4"/>
        <v>-6.5416081709431806E-2</v>
      </c>
      <c r="W10" s="14"/>
      <c r="X10" s="14">
        <f t="shared" si="9"/>
        <v>4.7388825420211944E-2</v>
      </c>
      <c r="Y10" s="14">
        <f t="shared" si="10"/>
        <v>0.15582726673850722</v>
      </c>
      <c r="Z10" s="14"/>
      <c r="AA10" s="14">
        <f t="shared" si="11"/>
        <v>4.5621648731466825E-2</v>
      </c>
      <c r="AB10" s="14">
        <f t="shared" si="16"/>
        <v>2.0986086183567901E-2</v>
      </c>
      <c r="AC10" s="15">
        <f t="shared" si="17"/>
        <v>1.0826582763099097E-2</v>
      </c>
      <c r="AD10" s="14">
        <f t="shared" si="12"/>
        <v>0</v>
      </c>
      <c r="AE10" s="14"/>
      <c r="AF10" s="34">
        <f t="shared" si="18"/>
        <v>7.7434317678133829E-2</v>
      </c>
      <c r="AG10" s="16"/>
      <c r="AH10" s="34">
        <f t="shared" si="19"/>
        <v>-4.3370829727407162E-2</v>
      </c>
      <c r="AI10" s="16"/>
      <c r="AJ10" s="33">
        <f t="shared" si="13"/>
        <v>4.8529624800811577</v>
      </c>
      <c r="AK10" s="33">
        <f t="shared" si="14"/>
        <v>16.862432536369056</v>
      </c>
      <c r="AM10" s="17">
        <f t="shared" si="5"/>
        <v>10.599251931491708</v>
      </c>
      <c r="AN10" s="18">
        <f t="shared" si="6"/>
        <v>40104.825049966421</v>
      </c>
      <c r="AP10" s="14"/>
      <c r="AQ10" s="14"/>
      <c r="AR10" s="14"/>
      <c r="AT10" s="18"/>
      <c r="AU10" s="18"/>
      <c r="AW10" s="18"/>
      <c r="AX10" s="18"/>
      <c r="AZ10" s="18"/>
      <c r="BA10" s="18"/>
      <c r="BC10" s="19"/>
      <c r="BD10" s="19"/>
      <c r="BE10" s="19"/>
      <c r="BF10" s="19"/>
      <c r="BH10" s="19"/>
      <c r="BI10" s="19"/>
      <c r="BJ10" s="51"/>
      <c r="BK10" s="19"/>
      <c r="BL10" s="91"/>
      <c r="BO10" s="18"/>
      <c r="BP10" s="18"/>
      <c r="BR10" s="18"/>
      <c r="BS10" s="18"/>
      <c r="BU10" s="18"/>
      <c r="BV10" s="18"/>
      <c r="BY10" s="20"/>
      <c r="BZ10" s="20"/>
    </row>
    <row r="11" spans="1:80" x14ac:dyDescent="0.15">
      <c r="A11" s="12">
        <f t="shared" si="15"/>
        <v>2001</v>
      </c>
      <c r="B11" s="95"/>
      <c r="C11" s="12"/>
      <c r="D11" s="44">
        <f t="shared" si="0"/>
        <v>14734.936656</v>
      </c>
      <c r="E11" s="44">
        <v>27442.492857440004</v>
      </c>
      <c r="F11" s="44">
        <v>7.3</v>
      </c>
      <c r="G11" s="157">
        <f t="shared" si="7"/>
        <v>42177.429513440002</v>
      </c>
      <c r="H11" s="91"/>
      <c r="I11" s="14"/>
      <c r="J11" s="14">
        <f t="shared" si="1"/>
        <v>9.5979765962823382</v>
      </c>
      <c r="K11" s="14">
        <f t="shared" si="1"/>
        <v>10.219847925287775</v>
      </c>
      <c r="L11" s="14">
        <f t="shared" si="8"/>
        <v>10.649640511290066</v>
      </c>
      <c r="M11" s="12"/>
      <c r="N11" s="120">
        <v>16481.699999999997</v>
      </c>
      <c r="O11" s="120">
        <v>12031.313987210442</v>
      </c>
      <c r="P11" s="14"/>
      <c r="Q11" s="32">
        <f t="shared" si="2"/>
        <v>9.7100059534831225</v>
      </c>
      <c r="R11" s="32">
        <f t="shared" si="3"/>
        <v>9.3952680288735433</v>
      </c>
      <c r="S11" s="14"/>
      <c r="T11" s="14"/>
      <c r="U11" s="14"/>
      <c r="V11" s="14">
        <f t="shared" si="4"/>
        <v>-4.4666893172260469E-2</v>
      </c>
      <c r="W11" s="14"/>
      <c r="X11" s="14">
        <f t="shared" si="9"/>
        <v>3.4448388995164336E-2</v>
      </c>
      <c r="Y11" s="14">
        <f t="shared" si="10"/>
        <v>-4.0200185561941382E-2</v>
      </c>
      <c r="Z11" s="14"/>
      <c r="AA11" s="14">
        <f t="shared" si="11"/>
        <v>3.3163774121145663E-2</v>
      </c>
      <c r="AB11" s="14">
        <f t="shared" si="16"/>
        <v>1.9968952578006224E-2</v>
      </c>
      <c r="AC11" s="15">
        <f t="shared" si="17"/>
        <v>2.0309534640082165E-2</v>
      </c>
      <c r="AD11" s="14">
        <f t="shared" si="12"/>
        <v>0</v>
      </c>
      <c r="AE11" s="14"/>
      <c r="AF11" s="34">
        <f t="shared" si="18"/>
        <v>7.3442261339234052E-2</v>
      </c>
      <c r="AG11" s="16"/>
      <c r="AH11" s="34">
        <f t="shared" si="19"/>
        <v>-2.3053681540875517E-2</v>
      </c>
      <c r="AI11" s="16"/>
      <c r="AJ11" s="33">
        <f t="shared" si="13"/>
        <v>3.50486070988969</v>
      </c>
      <c r="AK11" s="33">
        <f t="shared" si="14"/>
        <v>-3.9402877771282374</v>
      </c>
      <c r="AM11" s="17">
        <f t="shared" si="5"/>
        <v>10.649640511290066</v>
      </c>
      <c r="AN11" s="18">
        <f t="shared" si="6"/>
        <v>42177.42951343998</v>
      </c>
      <c r="AP11" s="14"/>
      <c r="AQ11" s="14"/>
      <c r="AR11" s="14"/>
      <c r="AT11" s="18"/>
      <c r="AU11" s="18"/>
      <c r="AW11" s="18"/>
      <c r="AX11" s="18"/>
      <c r="AZ11" s="18"/>
      <c r="BA11" s="18"/>
      <c r="BC11" s="19"/>
      <c r="BD11" s="19"/>
      <c r="BE11" s="19"/>
      <c r="BF11" s="19"/>
      <c r="BH11" s="19"/>
      <c r="BI11" s="19"/>
      <c r="BJ11" s="51"/>
      <c r="BK11" s="19"/>
      <c r="BL11" s="91"/>
      <c r="BO11" s="18"/>
      <c r="BP11" s="18"/>
      <c r="BR11" s="18"/>
      <c r="BS11" s="18"/>
      <c r="BU11" s="18"/>
      <c r="BV11" s="18"/>
      <c r="BY11" s="20"/>
      <c r="BZ11" s="20"/>
    </row>
    <row r="12" spans="1:80" x14ac:dyDescent="0.15">
      <c r="A12" s="12">
        <f t="shared" si="15"/>
        <v>2002</v>
      </c>
      <c r="B12" s="95"/>
      <c r="C12" s="12"/>
      <c r="D12" s="44">
        <f>+D13*(1-F13/100)</f>
        <v>15285.204</v>
      </c>
      <c r="E12" s="44">
        <v>28958.817496389995</v>
      </c>
      <c r="F12" s="44">
        <v>3.6</v>
      </c>
      <c r="G12" s="157">
        <f>+E12+D12</f>
        <v>44244.021496389993</v>
      </c>
      <c r="H12" s="91"/>
      <c r="I12" s="14"/>
      <c r="J12" s="14">
        <f t="shared" si="1"/>
        <v>9.6346405806539295</v>
      </c>
      <c r="K12" s="14">
        <f t="shared" si="1"/>
        <v>10.273630013359016</v>
      </c>
      <c r="L12" s="14">
        <f t="shared" si="8"/>
        <v>10.697475533882031</v>
      </c>
      <c r="M12" s="12"/>
      <c r="N12" s="120">
        <v>16893.600000000002</v>
      </c>
      <c r="O12" s="120">
        <v>11664.695399767394</v>
      </c>
      <c r="P12" s="14"/>
      <c r="Q12" s="32">
        <f t="shared" si="2"/>
        <v>9.7346901309620311</v>
      </c>
      <c r="R12" s="32">
        <f t="shared" si="3"/>
        <v>9.3643220717929001</v>
      </c>
      <c r="S12" s="14"/>
      <c r="T12" s="14"/>
      <c r="U12" s="14"/>
      <c r="V12" s="14">
        <f t="shared" si="4"/>
        <v>-1.782851664520857E-2</v>
      </c>
      <c r="W12" s="14"/>
      <c r="X12" s="14">
        <f t="shared" si="9"/>
        <v>2.4684177478908609E-2</v>
      </c>
      <c r="Y12" s="14">
        <f t="shared" si="10"/>
        <v>-3.0945957080643183E-2</v>
      </c>
      <c r="Z12" s="14"/>
      <c r="AA12" s="14">
        <f t="shared" si="11"/>
        <v>2.3763679816542628E-2</v>
      </c>
      <c r="AB12" s="14">
        <f t="shared" si="16"/>
        <v>-5.1515733793916644E-3</v>
      </c>
      <c r="AC12" s="15">
        <f t="shared" si="17"/>
        <v>1.386759632251219E-2</v>
      </c>
      <c r="AD12" s="14">
        <f t="shared" si="12"/>
        <v>0</v>
      </c>
      <c r="AE12" s="14"/>
      <c r="AF12" s="34">
        <f t="shared" si="18"/>
        <v>3.2479702759663151E-2</v>
      </c>
      <c r="AG12" s="16"/>
      <c r="AH12" s="34">
        <f t="shared" si="19"/>
        <v>1.5355319832301664E-2</v>
      </c>
      <c r="AI12" s="16"/>
      <c r="AJ12" s="33">
        <f t="shared" si="13"/>
        <v>2.4991354047216419</v>
      </c>
      <c r="AK12" s="33">
        <f t="shared" si="14"/>
        <v>-3.0472032217991551</v>
      </c>
      <c r="AM12" s="17">
        <f t="shared" si="5"/>
        <v>10.697475533882031</v>
      </c>
      <c r="AN12" s="18">
        <f t="shared" si="6"/>
        <v>44244.021496390022</v>
      </c>
      <c r="AP12" s="14"/>
      <c r="AQ12" s="14"/>
      <c r="AR12" s="14"/>
      <c r="AT12" s="18"/>
      <c r="AU12" s="18"/>
      <c r="AW12" s="18"/>
      <c r="AX12" s="18"/>
      <c r="AZ12" s="18"/>
      <c r="BA12" s="18"/>
      <c r="BC12" s="19"/>
      <c r="BD12" s="19"/>
      <c r="BE12" s="19"/>
      <c r="BF12" s="19"/>
      <c r="BH12" s="19"/>
      <c r="BI12" s="19"/>
      <c r="BJ12" s="51"/>
      <c r="BK12" s="22"/>
      <c r="BL12" s="91"/>
      <c r="BO12" s="18"/>
      <c r="BP12" s="18"/>
      <c r="BR12" s="18"/>
      <c r="BS12" s="18"/>
      <c r="BU12" s="18"/>
      <c r="BV12" s="18"/>
      <c r="BY12" s="20"/>
      <c r="BZ12" s="20"/>
    </row>
    <row r="13" spans="1:80" x14ac:dyDescent="0.15">
      <c r="A13" s="12">
        <f t="shared" si="15"/>
        <v>2003</v>
      </c>
      <c r="B13" s="91">
        <v>25136.094477370054</v>
      </c>
      <c r="C13" s="12"/>
      <c r="D13" s="44">
        <v>15972</v>
      </c>
      <c r="E13" s="44">
        <v>30422.185265969998</v>
      </c>
      <c r="F13" s="44">
        <v>4.3</v>
      </c>
      <c r="G13" s="157">
        <f t="shared" si="7"/>
        <v>46394.185265969994</v>
      </c>
      <c r="H13" s="91">
        <v>16616</v>
      </c>
      <c r="I13" s="14">
        <f t="shared" ref="I13:I23" si="20">LN(H13)</f>
        <v>9.7181213655559482</v>
      </c>
      <c r="J13" s="14">
        <f t="shared" si="1"/>
        <v>9.6785924681831119</v>
      </c>
      <c r="K13" s="14">
        <f t="shared" si="1"/>
        <v>10.322927399721333</v>
      </c>
      <c r="L13" s="14">
        <f t="shared" si="8"/>
        <v>10.744929412817697</v>
      </c>
      <c r="M13" s="12"/>
      <c r="N13" s="120">
        <v>17379.2</v>
      </c>
      <c r="O13" s="120">
        <v>11893.990960045896</v>
      </c>
      <c r="P13" s="14"/>
      <c r="Q13" s="32">
        <f t="shared" si="2"/>
        <v>9.7630293678405256</v>
      </c>
      <c r="R13" s="32">
        <f t="shared" si="3"/>
        <v>9.3837885902230269</v>
      </c>
      <c r="S13" s="14"/>
      <c r="T13" s="14"/>
      <c r="U13" s="14"/>
      <c r="V13" s="14">
        <f t="shared" si="4"/>
        <v>-6.8867511251125002E-4</v>
      </c>
      <c r="W13" s="14"/>
      <c r="X13" s="14">
        <f t="shared" si="9"/>
        <v>2.8339236878494489E-2</v>
      </c>
      <c r="Y13" s="14">
        <f t="shared" si="10"/>
        <v>1.9466518430126811E-2</v>
      </c>
      <c r="Z13" s="14"/>
      <c r="AA13" s="14">
        <f t="shared" si="11"/>
        <v>2.7282438396058553E-2</v>
      </c>
      <c r="AB13" s="14">
        <f t="shared" si="16"/>
        <v>-3.9656625079702631E-3</v>
      </c>
      <c r="AC13" s="15">
        <f t="shared" si="17"/>
        <v>5.5351660772879688E-3</v>
      </c>
      <c r="AD13" s="14">
        <f t="shared" si="12"/>
        <v>0</v>
      </c>
      <c r="AE13" s="14"/>
      <c r="AF13" s="34">
        <f t="shared" si="18"/>
        <v>2.8851941965376257E-2</v>
      </c>
      <c r="AG13" s="16"/>
      <c r="AH13" s="34">
        <f t="shared" si="19"/>
        <v>1.8601936970290181E-2</v>
      </c>
      <c r="AI13" s="16"/>
      <c r="AJ13" s="33">
        <f t="shared" si="13"/>
        <v>2.8744613344698466</v>
      </c>
      <c r="AK13" s="33">
        <f t="shared" si="14"/>
        <v>1.9657226564448127</v>
      </c>
      <c r="AM13" s="17">
        <f t="shared" si="5"/>
        <v>10.744929412817697</v>
      </c>
      <c r="AN13" s="18">
        <f>+EXP(AM13)</f>
        <v>46394.185265970009</v>
      </c>
      <c r="AP13" s="14"/>
      <c r="AQ13" s="14"/>
      <c r="AR13" s="14"/>
      <c r="AT13" s="18"/>
      <c r="AU13" s="18"/>
      <c r="AW13" s="18"/>
      <c r="AX13" s="18"/>
      <c r="AZ13" s="18"/>
      <c r="BA13" s="18"/>
      <c r="BC13" s="19">
        <v>1.94</v>
      </c>
      <c r="BD13" s="19">
        <v>14.48</v>
      </c>
      <c r="BE13" s="45">
        <v>9.1822463625738227</v>
      </c>
      <c r="BF13" s="19">
        <f t="shared" ref="BF13:BF23" si="21">+SUM(BH13:BI13)/SUM(D13:F13)*100</f>
        <v>11.005069606755082</v>
      </c>
      <c r="BH13" s="22">
        <f t="shared" ref="BH13:BH23" si="22">+BD13*D13/100</f>
        <v>2312.7456000000002</v>
      </c>
      <c r="BI13" s="22">
        <f t="shared" ref="BI13:BI23" si="23">+BE13*E13/100</f>
        <v>2793.4399999999996</v>
      </c>
      <c r="BJ13" s="52">
        <f t="shared" ref="BJ13:BJ28" si="24">+BF13*G13/100</f>
        <v>5105.7123820069082</v>
      </c>
      <c r="BK13" s="22">
        <f t="shared" ref="BK13:BK23" si="25">+BC13*H13/100</f>
        <v>322.35040000000004</v>
      </c>
      <c r="BL13" s="91"/>
      <c r="BM13" s="52">
        <f>+BJ13+BK13+BL13</f>
        <v>5428.0627820069085</v>
      </c>
      <c r="BO13" s="18"/>
      <c r="BP13" s="18"/>
      <c r="BR13" s="18"/>
      <c r="BS13" s="18"/>
      <c r="BU13" s="18"/>
      <c r="BV13" s="18"/>
      <c r="BX13" s="52">
        <f>+BJ13+BK13+BL13</f>
        <v>5428.0627820069085</v>
      </c>
      <c r="BY13" s="20"/>
      <c r="BZ13" s="20"/>
      <c r="CB13" s="22"/>
    </row>
    <row r="14" spans="1:80" x14ac:dyDescent="0.15">
      <c r="A14" s="12">
        <f t="shared" si="15"/>
        <v>2004</v>
      </c>
      <c r="B14" s="91">
        <v>33531.044515909962</v>
      </c>
      <c r="C14" s="12"/>
      <c r="D14" s="44">
        <v>17394</v>
      </c>
      <c r="E14" s="44">
        <v>31981.93601895</v>
      </c>
      <c r="F14" s="44">
        <v>7.9</v>
      </c>
      <c r="G14" s="157">
        <f>+E14+D14</f>
        <v>49375.93601895</v>
      </c>
      <c r="H14" s="91">
        <v>17763</v>
      </c>
      <c r="I14" s="14">
        <f t="shared" si="20"/>
        <v>9.7848729211998862</v>
      </c>
      <c r="J14" s="14">
        <f t="shared" si="1"/>
        <v>9.7638805981497097</v>
      </c>
      <c r="K14" s="14">
        <f t="shared" si="1"/>
        <v>10.372926522984274</v>
      </c>
      <c r="L14" s="14">
        <f t="shared" si="8"/>
        <v>10.807218459369558</v>
      </c>
      <c r="M14" s="12"/>
      <c r="N14" s="120">
        <v>17869.400000000001</v>
      </c>
      <c r="O14" s="120">
        <v>12196.219566504651</v>
      </c>
      <c r="P14" s="14"/>
      <c r="Q14" s="32">
        <f t="shared" si="2"/>
        <v>9.7908450317643876</v>
      </c>
      <c r="R14" s="32">
        <f t="shared" si="3"/>
        <v>9.4088813111032454</v>
      </c>
      <c r="S14" s="14"/>
      <c r="T14" s="14"/>
      <c r="U14" s="14"/>
      <c r="V14" s="14">
        <f t="shared" si="4"/>
        <v>3.117064918942547E-2</v>
      </c>
      <c r="W14" s="14"/>
      <c r="X14" s="14">
        <f t="shared" si="9"/>
        <v>2.7815663923862033E-2</v>
      </c>
      <c r="Y14" s="14">
        <f t="shared" si="10"/>
        <v>2.5092720880218522E-2</v>
      </c>
      <c r="Z14" s="14"/>
      <c r="AA14" s="14">
        <f t="shared" si="11"/>
        <v>2.6778390000477294E-2</v>
      </c>
      <c r="AB14" s="14">
        <f t="shared" si="16"/>
        <v>2.4945954037838909E-3</v>
      </c>
      <c r="AC14" s="15">
        <f t="shared" si="17"/>
        <v>2.1381089615603026E-4</v>
      </c>
      <c r="AD14" s="14">
        <f t="shared" si="12"/>
        <v>0</v>
      </c>
      <c r="AE14" s="14"/>
      <c r="AF14" s="34">
        <f t="shared" si="18"/>
        <v>2.9486796300417215E-2</v>
      </c>
      <c r="AG14" s="16"/>
      <c r="AH14" s="34">
        <f t="shared" si="19"/>
        <v>3.2802250251443635E-2</v>
      </c>
      <c r="AI14" s="16"/>
      <c r="AJ14" s="33">
        <f t="shared" si="13"/>
        <v>2.8206131467501505</v>
      </c>
      <c r="AK14" s="33">
        <f t="shared" si="14"/>
        <v>2.5410193052441077</v>
      </c>
      <c r="AM14" s="17">
        <f t="shared" si="5"/>
        <v>10.807218459369558</v>
      </c>
      <c r="AN14" s="18">
        <f t="shared" si="6"/>
        <v>49375.936018950029</v>
      </c>
      <c r="AP14" s="14"/>
      <c r="AQ14" s="14"/>
      <c r="AR14" s="14"/>
      <c r="AT14" s="18"/>
      <c r="AU14" s="18"/>
      <c r="AW14" s="18"/>
      <c r="AX14" s="18"/>
      <c r="AZ14" s="18"/>
      <c r="BA14" s="18"/>
      <c r="BC14" s="19">
        <v>1.94</v>
      </c>
      <c r="BD14" s="19">
        <v>14.42</v>
      </c>
      <c r="BE14" s="45">
        <v>9.121605390841431</v>
      </c>
      <c r="BF14" s="19">
        <f t="shared" si="21"/>
        <v>10.986349456364806</v>
      </c>
      <c r="BH14" s="22">
        <f t="shared" si="22"/>
        <v>2508.2148000000002</v>
      </c>
      <c r="BI14" s="22">
        <f t="shared" si="23"/>
        <v>2917.2660000000005</v>
      </c>
      <c r="BJ14" s="52">
        <f t="shared" si="24"/>
        <v>5424.612878392948</v>
      </c>
      <c r="BK14" s="22">
        <f t="shared" si="25"/>
        <v>344.60220000000004</v>
      </c>
      <c r="BL14" s="91"/>
      <c r="BM14" s="52">
        <f t="shared" ref="BM14:BM28" si="26">+BJ14+BK14+BL14</f>
        <v>5769.2150783929483</v>
      </c>
      <c r="BO14" s="18"/>
      <c r="BP14" s="18"/>
      <c r="BR14" s="18"/>
      <c r="BS14" s="18"/>
      <c r="BU14" s="18"/>
      <c r="BV14" s="18"/>
      <c r="BX14" s="52">
        <f>+BJ14+BK14+BL14</f>
        <v>5769.2150783929483</v>
      </c>
      <c r="BY14" s="20"/>
      <c r="BZ14" s="20"/>
      <c r="CB14" s="22"/>
    </row>
    <row r="15" spans="1:80" x14ac:dyDescent="0.15">
      <c r="A15" s="12">
        <f t="shared" si="15"/>
        <v>2005</v>
      </c>
      <c r="B15" s="91">
        <v>34000.754985600026</v>
      </c>
      <c r="C15" s="12"/>
      <c r="D15" s="44">
        <v>18896</v>
      </c>
      <c r="E15" s="44">
        <v>32332.210140879994</v>
      </c>
      <c r="F15" s="44">
        <v>2.6</v>
      </c>
      <c r="G15" s="157">
        <f t="shared" si="7"/>
        <v>51228.210140879994</v>
      </c>
      <c r="H15" s="91">
        <v>17166</v>
      </c>
      <c r="I15" s="14">
        <f t="shared" si="20"/>
        <v>9.7506859622781654</v>
      </c>
      <c r="J15" s="14">
        <f t="shared" si="1"/>
        <v>9.8467055384371438</v>
      </c>
      <c r="K15" s="14">
        <f t="shared" si="1"/>
        <v>10.383819230303107</v>
      </c>
      <c r="L15" s="14">
        <f t="shared" si="8"/>
        <v>10.844045638608291</v>
      </c>
      <c r="M15" s="12"/>
      <c r="N15" s="120">
        <v>18513.400000000001</v>
      </c>
      <c r="O15" s="120">
        <v>13269.863521470194</v>
      </c>
      <c r="P15" s="14"/>
      <c r="Q15" s="32">
        <f t="shared" si="2"/>
        <v>9.8262500731944797</v>
      </c>
      <c r="R15" s="32">
        <f t="shared" si="3"/>
        <v>9.4932508425311042</v>
      </c>
      <c r="S15" s="14"/>
      <c r="T15" s="14"/>
      <c r="U15" s="14"/>
      <c r="V15" s="14">
        <f t="shared" si="4"/>
        <v>2.3346629625855986E-2</v>
      </c>
      <c r="W15" s="14"/>
      <c r="X15" s="14">
        <f t="shared" si="9"/>
        <v>3.5405041430092155E-2</v>
      </c>
      <c r="Y15" s="14">
        <f t="shared" si="10"/>
        <v>8.4369531427858746E-2</v>
      </c>
      <c r="Z15" s="14"/>
      <c r="AA15" s="14">
        <f t="shared" si="11"/>
        <v>3.4084752030122588E-2</v>
      </c>
      <c r="AB15" s="14">
        <f t="shared" si="16"/>
        <v>3.2155819953582437E-3</v>
      </c>
      <c r="AC15" s="15">
        <f t="shared" si="17"/>
        <v>-9.6774579418933571E-3</v>
      </c>
      <c r="AD15" s="14">
        <f t="shared" si="12"/>
        <v>0</v>
      </c>
      <c r="AE15" s="14"/>
      <c r="AF15" s="34">
        <f t="shared" si="18"/>
        <v>2.7622876083587475E-2</v>
      </c>
      <c r="AG15" s="16"/>
      <c r="AH15" s="34">
        <f t="shared" si="19"/>
        <v>9.2043031551454352E-3</v>
      </c>
      <c r="AI15" s="16"/>
      <c r="AJ15" s="33">
        <f t="shared" si="13"/>
        <v>3.6039262650116921</v>
      </c>
      <c r="AK15" s="33">
        <f t="shared" si="14"/>
        <v>8.8030881135837227</v>
      </c>
      <c r="AM15" s="17">
        <f t="shared" si="5"/>
        <v>10.844045638608291</v>
      </c>
      <c r="AN15" s="18">
        <f t="shared" si="6"/>
        <v>51228.210140879979</v>
      </c>
      <c r="AP15" s="14"/>
      <c r="AQ15" s="14"/>
      <c r="AR15" s="14"/>
      <c r="AT15" s="18"/>
      <c r="AU15" s="18"/>
      <c r="AW15" s="18"/>
      <c r="AX15" s="18"/>
      <c r="AZ15" s="18"/>
      <c r="BA15" s="18"/>
      <c r="BC15" s="19">
        <v>1.94</v>
      </c>
      <c r="BD15" s="19">
        <v>14.44</v>
      </c>
      <c r="BE15" s="45">
        <v>9.4298564394924398</v>
      </c>
      <c r="BF15" s="19">
        <f t="shared" si="21"/>
        <v>11.277321955503943</v>
      </c>
      <c r="BH15" s="22">
        <f t="shared" si="22"/>
        <v>2728.5823999999998</v>
      </c>
      <c r="BI15" s="22">
        <f t="shared" si="23"/>
        <v>3048.8809999999999</v>
      </c>
      <c r="BJ15" s="52">
        <f t="shared" si="24"/>
        <v>5777.1701896291579</v>
      </c>
      <c r="BK15" s="22">
        <f t="shared" si="25"/>
        <v>333.0204</v>
      </c>
      <c r="BL15" s="91"/>
      <c r="BM15" s="52">
        <f t="shared" si="26"/>
        <v>6110.1905896291582</v>
      </c>
      <c r="BO15" s="18"/>
      <c r="BP15" s="18"/>
      <c r="BR15" s="18"/>
      <c r="BS15" s="18"/>
      <c r="BU15" s="18"/>
      <c r="BV15" s="18"/>
      <c r="BX15" s="52">
        <f t="shared" ref="BX15:BX22" si="27">+BJ15+BK15+BL15</f>
        <v>6110.1905896291582</v>
      </c>
      <c r="BY15" s="20"/>
      <c r="BZ15" s="20"/>
      <c r="CB15" s="22"/>
    </row>
    <row r="16" spans="1:80" x14ac:dyDescent="0.15">
      <c r="A16" s="12">
        <f t="shared" si="15"/>
        <v>2006</v>
      </c>
      <c r="B16" s="91">
        <v>36528.618676619983</v>
      </c>
      <c r="C16" s="12"/>
      <c r="D16" s="44">
        <v>20439</v>
      </c>
      <c r="E16" s="44">
        <v>34653.129278209999</v>
      </c>
      <c r="F16" s="44">
        <v>4.0999999999999996</v>
      </c>
      <c r="G16" s="157">
        <f t="shared" si="7"/>
        <v>55092.129278209999</v>
      </c>
      <c r="H16" s="91">
        <v>16977</v>
      </c>
      <c r="I16" s="14">
        <f t="shared" si="20"/>
        <v>9.739614765810634</v>
      </c>
      <c r="J16" s="14">
        <f t="shared" si="1"/>
        <v>9.9252001194417776</v>
      </c>
      <c r="K16" s="14">
        <f t="shared" si="1"/>
        <v>10.453143311599703</v>
      </c>
      <c r="L16" s="14">
        <f t="shared" si="8"/>
        <v>10.916762140622177</v>
      </c>
      <c r="M16" s="12"/>
      <c r="N16" s="120">
        <v>19192.599999999999</v>
      </c>
      <c r="O16" s="120">
        <v>14144.912327401908</v>
      </c>
      <c r="P16" s="14"/>
      <c r="Q16" s="32">
        <f t="shared" si="2"/>
        <v>9.8622800670571138</v>
      </c>
      <c r="R16" s="32">
        <f t="shared" si="3"/>
        <v>9.5571102855829775</v>
      </c>
      <c r="S16" s="14"/>
      <c r="T16" s="14"/>
      <c r="U16" s="14"/>
      <c r="V16" s="14">
        <f t="shared" si="4"/>
        <v>5.3107277032736544E-2</v>
      </c>
      <c r="W16" s="14"/>
      <c r="X16" s="14">
        <f t="shared" si="9"/>
        <v>3.6029993862634058E-2</v>
      </c>
      <c r="Y16" s="14">
        <f t="shared" si="10"/>
        <v>6.3859443051873299E-2</v>
      </c>
      <c r="Z16" s="14"/>
      <c r="AA16" s="14">
        <f t="shared" si="11"/>
        <v>3.4686399361502571E-2</v>
      </c>
      <c r="AB16" s="14">
        <f t="shared" si="16"/>
        <v>1.0811786713417244E-2</v>
      </c>
      <c r="AC16" s="15">
        <f t="shared" si="17"/>
        <v>-7.2483580600506302E-3</v>
      </c>
      <c r="AD16" s="14">
        <f t="shared" si="12"/>
        <v>0</v>
      </c>
      <c r="AE16" s="14"/>
      <c r="AF16" s="34">
        <f t="shared" si="18"/>
        <v>3.8249828014869189E-2</v>
      </c>
      <c r="AG16" s="16"/>
      <c r="AH16" s="34">
        <f t="shared" si="19"/>
        <v>3.4466673999017053E-2</v>
      </c>
      <c r="AI16" s="16"/>
      <c r="AJ16" s="33">
        <f t="shared" si="13"/>
        <v>3.6686940270290513</v>
      </c>
      <c r="AK16" s="33">
        <f t="shared" si="14"/>
        <v>6.5942562598018784</v>
      </c>
      <c r="AM16" s="17">
        <f t="shared" si="5"/>
        <v>10.916762140622177</v>
      </c>
      <c r="AN16" s="18">
        <f t="shared" si="6"/>
        <v>55092.129278210021</v>
      </c>
      <c r="AP16" s="14"/>
      <c r="AQ16" s="14"/>
      <c r="AR16" s="14"/>
      <c r="AT16" s="18"/>
      <c r="AU16" s="18"/>
      <c r="AW16" s="18"/>
      <c r="AX16" s="18"/>
      <c r="AZ16" s="18"/>
      <c r="BA16" s="18"/>
      <c r="BC16" s="19">
        <v>1.93</v>
      </c>
      <c r="BD16" s="19">
        <v>14.48</v>
      </c>
      <c r="BE16" s="45">
        <v>9.2893544307530984</v>
      </c>
      <c r="BF16" s="19">
        <f t="shared" si="21"/>
        <v>11.214232409265042</v>
      </c>
      <c r="BH16" s="22">
        <f t="shared" si="22"/>
        <v>2959.5672000000004</v>
      </c>
      <c r="BI16" s="22">
        <f t="shared" si="23"/>
        <v>3219.0519999999997</v>
      </c>
      <c r="BJ16" s="52">
        <f t="shared" si="24"/>
        <v>6178.1594164712214</v>
      </c>
      <c r="BK16" s="22">
        <f t="shared" si="25"/>
        <v>327.65609999999998</v>
      </c>
      <c r="BL16" s="91"/>
      <c r="BM16" s="52">
        <f t="shared" si="26"/>
        <v>6505.8155164712216</v>
      </c>
      <c r="BO16" s="18"/>
      <c r="BP16" s="18"/>
      <c r="BR16" s="18"/>
      <c r="BS16" s="18"/>
      <c r="BU16" s="18"/>
      <c r="BV16" s="18"/>
      <c r="BX16" s="52">
        <f t="shared" si="27"/>
        <v>6505.8155164712216</v>
      </c>
      <c r="BY16" s="20"/>
      <c r="BZ16" s="20"/>
      <c r="CB16" s="22"/>
    </row>
    <row r="17" spans="1:81" x14ac:dyDescent="0.15">
      <c r="A17" s="12">
        <f t="shared" si="15"/>
        <v>2007</v>
      </c>
      <c r="B17" s="91">
        <v>38137.679626166297</v>
      </c>
      <c r="C17" s="12"/>
      <c r="D17" s="44">
        <v>21291</v>
      </c>
      <c r="E17" s="44">
        <v>36156.304338429996</v>
      </c>
      <c r="F17" s="44"/>
      <c r="G17" s="157">
        <f t="shared" si="7"/>
        <v>57447.304338429996</v>
      </c>
      <c r="H17" s="91">
        <v>18659</v>
      </c>
      <c r="I17" s="14">
        <f t="shared" si="20"/>
        <v>9.8340838823972483</v>
      </c>
      <c r="J17" s="14">
        <f t="shared" si="1"/>
        <v>9.9660397271930918</v>
      </c>
      <c r="K17" s="14">
        <f t="shared" si="1"/>
        <v>10.495606606252883</v>
      </c>
      <c r="L17" s="14">
        <f t="shared" si="8"/>
        <v>10.958623360303626</v>
      </c>
      <c r="M17" s="12"/>
      <c r="N17" s="120">
        <v>19812.400000000001</v>
      </c>
      <c r="O17" s="120">
        <v>14351.746980103624</v>
      </c>
      <c r="P17" s="14"/>
      <c r="Q17" s="32">
        <f t="shared" si="2"/>
        <v>9.8940632832882862</v>
      </c>
      <c r="R17" s="32">
        <f t="shared" si="3"/>
        <v>9.5716269545517321</v>
      </c>
      <c r="S17" s="14"/>
      <c r="T17" s="14"/>
      <c r="U17" s="14"/>
      <c r="V17" s="14">
        <f t="shared" si="4"/>
        <v>6.1796341585923731E-2</v>
      </c>
      <c r="W17" s="14"/>
      <c r="X17" s="14">
        <f t="shared" si="9"/>
        <v>3.1783216231172418E-2</v>
      </c>
      <c r="Y17" s="14">
        <f t="shared" si="10"/>
        <v>1.4516668968754587E-2</v>
      </c>
      <c r="Z17" s="14"/>
      <c r="AA17" s="14">
        <f t="shared" si="11"/>
        <v>3.0597988314695769E-2</v>
      </c>
      <c r="AB17" s="14">
        <f t="shared" si="16"/>
        <v>8.1834599082114597E-3</v>
      </c>
      <c r="AC17" s="15">
        <f t="shared" si="17"/>
        <v>-1.6488056978522615E-2</v>
      </c>
      <c r="AD17" s="14">
        <f t="shared" si="12"/>
        <v>0</v>
      </c>
      <c r="AE17" s="14"/>
      <c r="AF17" s="34">
        <f t="shared" si="18"/>
        <v>2.2293391244384616E-2</v>
      </c>
      <c r="AG17" s="16"/>
      <c r="AH17" s="34">
        <f t="shared" si="19"/>
        <v>1.9567828437064342E-2</v>
      </c>
      <c r="AI17" s="16"/>
      <c r="AJ17" s="33">
        <f t="shared" si="13"/>
        <v>3.2293696528870708</v>
      </c>
      <c r="AK17" s="33">
        <f t="shared" si="14"/>
        <v>1.4622547521982998</v>
      </c>
      <c r="AM17" s="17">
        <f t="shared" si="5"/>
        <v>10.958623360303626</v>
      </c>
      <c r="AN17" s="18">
        <f t="shared" si="6"/>
        <v>57447.304338430047</v>
      </c>
      <c r="AP17" s="14"/>
      <c r="AQ17" s="14"/>
      <c r="AR17" s="14"/>
      <c r="AT17" s="18"/>
      <c r="AU17" s="18"/>
      <c r="AW17" s="18"/>
      <c r="AX17" s="18"/>
      <c r="AZ17" s="18"/>
      <c r="BA17" s="18"/>
      <c r="BC17" s="19">
        <v>1.92</v>
      </c>
      <c r="BD17" s="19">
        <v>14.5</v>
      </c>
      <c r="BE17" s="45">
        <v>9.0414367069558796</v>
      </c>
      <c r="BF17" s="19">
        <f t="shared" si="21"/>
        <v>11.064478038669975</v>
      </c>
      <c r="BH17" s="22">
        <f t="shared" si="22"/>
        <v>3087.1950000000002</v>
      </c>
      <c r="BI17" s="22">
        <f t="shared" si="23"/>
        <v>3269.0493723334907</v>
      </c>
      <c r="BJ17" s="52">
        <f t="shared" si="24"/>
        <v>6356.2443723334909</v>
      </c>
      <c r="BK17" s="22">
        <f t="shared" si="25"/>
        <v>358.25279999999998</v>
      </c>
      <c r="BL17" s="91">
        <v>139.81361421002475</v>
      </c>
      <c r="BM17" s="52">
        <f>+BJ17+BK17+BL17</f>
        <v>6854.3107865435159</v>
      </c>
      <c r="BO17" s="18"/>
      <c r="BP17" s="18"/>
      <c r="BR17" s="18"/>
      <c r="BS17" s="18"/>
      <c r="BU17" s="18"/>
      <c r="BV17" s="18"/>
      <c r="BX17" s="52">
        <f t="shared" si="27"/>
        <v>6854.3107865435159</v>
      </c>
      <c r="BY17" s="20"/>
      <c r="BZ17" s="20"/>
      <c r="CB17" s="22"/>
    </row>
    <row r="18" spans="1:81" x14ac:dyDescent="0.15">
      <c r="A18" s="12">
        <f t="shared" si="15"/>
        <v>2008</v>
      </c>
      <c r="B18" s="91">
        <v>34730.162793444368</v>
      </c>
      <c r="C18" s="12"/>
      <c r="D18" s="44">
        <v>20292</v>
      </c>
      <c r="E18" s="44">
        <v>32441.167238429996</v>
      </c>
      <c r="F18" s="44"/>
      <c r="G18" s="157">
        <f t="shared" si="7"/>
        <v>52733.167238429996</v>
      </c>
      <c r="H18" s="91">
        <v>18806</v>
      </c>
      <c r="I18" s="14">
        <f t="shared" si="20"/>
        <v>9.8419312468370226</v>
      </c>
      <c r="J18" s="14">
        <f t="shared" si="1"/>
        <v>9.9179819986865798</v>
      </c>
      <c r="K18" s="14">
        <f t="shared" si="1"/>
        <v>10.38718348903795</v>
      </c>
      <c r="L18" s="14">
        <f t="shared" si="8"/>
        <v>10.872999895928904</v>
      </c>
      <c r="M18" s="12"/>
      <c r="N18" s="120">
        <v>19849.800000000003</v>
      </c>
      <c r="O18" s="120">
        <v>10779.608375242453</v>
      </c>
      <c r="P18" s="14"/>
      <c r="Q18" s="32">
        <f t="shared" si="2"/>
        <v>9.8959492104978271</v>
      </c>
      <c r="R18" s="32">
        <f t="shared" si="3"/>
        <v>9.2854115149758503</v>
      </c>
      <c r="S18" s="14"/>
      <c r="T18" s="14"/>
      <c r="U18" s="14"/>
      <c r="V18" s="14">
        <f t="shared" si="4"/>
        <v>6.6126362491767399E-3</v>
      </c>
      <c r="W18" s="14"/>
      <c r="X18" s="14">
        <f t="shared" si="9"/>
        <v>1.8859272095408386E-3</v>
      </c>
      <c r="Y18" s="14">
        <f t="shared" si="10"/>
        <v>-0.2862154395758818</v>
      </c>
      <c r="Z18" s="14"/>
      <c r="AA18" s="14">
        <f t="shared" si="11"/>
        <v>1.8155990979698512E-3</v>
      </c>
      <c r="AB18" s="14">
        <f t="shared" si="16"/>
        <v>1.8602820950079631E-3</v>
      </c>
      <c r="AC18" s="15">
        <f t="shared" si="17"/>
        <v>-1.9185724783156981E-2</v>
      </c>
      <c r="AD18" s="14">
        <f t="shared" si="12"/>
        <v>0</v>
      </c>
      <c r="AE18" s="14"/>
      <c r="AF18" s="34">
        <f t="shared" si="18"/>
        <v>-1.5509843590179168E-2</v>
      </c>
      <c r="AG18" s="16"/>
      <c r="AH18" s="34">
        <f t="shared" si="19"/>
        <v>-7.0113620784542627E-2</v>
      </c>
      <c r="AI18" s="16"/>
      <c r="AJ18" s="33">
        <f t="shared" si="13"/>
        <v>0.18877066887403871</v>
      </c>
      <c r="AK18" s="33">
        <f t="shared" si="14"/>
        <v>-24.889921831909135</v>
      </c>
      <c r="AM18" s="17">
        <f t="shared" si="5"/>
        <v>10.872999895928904</v>
      </c>
      <c r="AN18" s="18">
        <f t="shared" si="6"/>
        <v>52733.16723843004</v>
      </c>
      <c r="AP18" s="14"/>
      <c r="AQ18" s="14"/>
      <c r="AR18" s="14"/>
      <c r="AT18" s="18"/>
      <c r="AU18" s="18"/>
      <c r="AW18" s="18"/>
      <c r="AX18" s="18"/>
      <c r="AZ18" s="18"/>
      <c r="BA18" s="18"/>
      <c r="BC18" s="19">
        <v>1.91</v>
      </c>
      <c r="BD18" s="19">
        <v>14.57</v>
      </c>
      <c r="BE18" s="45">
        <v>7.8745471185568547</v>
      </c>
      <c r="BF18" s="19">
        <f t="shared" si="21"/>
        <v>10.450992588936861</v>
      </c>
      <c r="BH18" s="22">
        <f t="shared" si="22"/>
        <v>2956.5444000000002</v>
      </c>
      <c r="BI18" s="22">
        <f t="shared" si="23"/>
        <v>2554.5949999999998</v>
      </c>
      <c r="BJ18" s="52">
        <f t="shared" si="24"/>
        <v>5511.1393999999991</v>
      </c>
      <c r="BK18" s="22">
        <f t="shared" si="25"/>
        <v>359.19459999999998</v>
      </c>
      <c r="BL18" s="91">
        <v>184.0961821300607</v>
      </c>
      <c r="BM18" s="52">
        <f t="shared" si="26"/>
        <v>6054.4301821300596</v>
      </c>
      <c r="BO18" s="18"/>
      <c r="BP18" s="18"/>
      <c r="BR18" s="18"/>
      <c r="BS18" s="18"/>
      <c r="BU18" s="18"/>
      <c r="BV18" s="18"/>
      <c r="BX18" s="52">
        <f t="shared" si="27"/>
        <v>6054.4301821300596</v>
      </c>
      <c r="BY18" s="20"/>
      <c r="BZ18" s="20"/>
      <c r="CB18" s="22"/>
    </row>
    <row r="19" spans="1:81" x14ac:dyDescent="0.15">
      <c r="A19" s="12">
        <f t="shared" si="15"/>
        <v>2009</v>
      </c>
      <c r="B19" s="91">
        <v>30801.250164019999</v>
      </c>
      <c r="C19" s="12"/>
      <c r="D19" s="44">
        <v>18753</v>
      </c>
      <c r="E19" s="44">
        <v>28266.44799294</v>
      </c>
      <c r="F19" s="44"/>
      <c r="G19" s="157">
        <f>+E19+D19</f>
        <v>47019.447992939997</v>
      </c>
      <c r="H19" s="91">
        <v>15522</v>
      </c>
      <c r="I19" s="14">
        <f t="shared" si="20"/>
        <v>9.6500136514140848</v>
      </c>
      <c r="J19" s="14">
        <f t="shared" si="1"/>
        <v>9.8391090185999222</v>
      </c>
      <c r="K19" s="14">
        <f t="shared" si="1"/>
        <v>10.249430796983141</v>
      </c>
      <c r="L19" s="14">
        <f t="shared" si="8"/>
        <v>10.758316582189758</v>
      </c>
      <c r="M19" s="12"/>
      <c r="N19" s="120">
        <v>18642.099999999999</v>
      </c>
      <c r="O19" s="120">
        <v>8030.622378635986</v>
      </c>
      <c r="P19" s="14"/>
      <c r="Q19" s="32">
        <f t="shared" si="2"/>
        <v>9.8331777428380214</v>
      </c>
      <c r="R19" s="32">
        <f t="shared" si="3"/>
        <v>8.9910173106167708</v>
      </c>
      <c r="S19" s="14"/>
      <c r="T19" s="14"/>
      <c r="U19" s="14"/>
      <c r="V19" s="14">
        <f t="shared" si="4"/>
        <v>-1.2558494607339599E-2</v>
      </c>
      <c r="W19" s="14"/>
      <c r="X19" s="14">
        <f t="shared" si="9"/>
        <v>-6.277146765980568E-2</v>
      </c>
      <c r="Y19" s="14">
        <f t="shared" si="10"/>
        <v>-0.29439420435907948</v>
      </c>
      <c r="Z19" s="14"/>
      <c r="AA19" s="14">
        <f t="shared" si="11"/>
        <v>-6.043065685930387E-2</v>
      </c>
      <c r="AB19" s="14">
        <f t="shared" si="16"/>
        <v>-3.6677936150770106E-2</v>
      </c>
      <c r="AC19" s="15">
        <f t="shared" si="17"/>
        <v>-2.0530053383731547E-3</v>
      </c>
      <c r="AD19" s="14">
        <f t="shared" si="12"/>
        <v>0</v>
      </c>
      <c r="AE19" s="14"/>
      <c r="AF19" s="34">
        <f t="shared" si="18"/>
        <v>-9.9161598348447136E-2</v>
      </c>
      <c r="AG19" s="16"/>
      <c r="AH19" s="34">
        <f t="shared" si="19"/>
        <v>-1.5521715390698951E-2</v>
      </c>
      <c r="AI19" s="16"/>
      <c r="AJ19" s="33">
        <f t="shared" si="13"/>
        <v>-6.0841922840532581</v>
      </c>
      <c r="AK19" s="33">
        <f t="shared" si="14"/>
        <v>-25.501724189907193</v>
      </c>
      <c r="AM19" s="17">
        <f t="shared" si="5"/>
        <v>10.758316582189758</v>
      </c>
      <c r="AN19" s="18">
        <f t="shared" si="6"/>
        <v>47019.447992939975</v>
      </c>
      <c r="AP19" s="14"/>
      <c r="AQ19" s="14"/>
      <c r="AR19" s="14"/>
      <c r="AT19" s="18"/>
      <c r="AU19" s="18"/>
      <c r="AW19" s="18"/>
      <c r="AX19" s="18"/>
      <c r="AZ19" s="18"/>
      <c r="BA19" s="18"/>
      <c r="BC19" s="19">
        <v>1.92</v>
      </c>
      <c r="BD19" s="19">
        <v>14.61</v>
      </c>
      <c r="BE19" s="45">
        <v>7.8295935893776587</v>
      </c>
      <c r="BF19" s="19">
        <f t="shared" si="21"/>
        <v>10.533856758045504</v>
      </c>
      <c r="BH19" s="22">
        <f t="shared" si="22"/>
        <v>2739.8133000000003</v>
      </c>
      <c r="BI19" s="22">
        <f t="shared" si="23"/>
        <v>2213.1480000000001</v>
      </c>
      <c r="BJ19" s="52">
        <f t="shared" si="24"/>
        <v>4952.9613000000008</v>
      </c>
      <c r="BK19" s="22">
        <f t="shared" si="25"/>
        <v>298.0224</v>
      </c>
      <c r="BL19" s="91">
        <v>139.08314551002422</v>
      </c>
      <c r="BM19" s="52">
        <f t="shared" si="26"/>
        <v>5390.0668455100249</v>
      </c>
      <c r="BO19" s="18"/>
      <c r="BP19" s="18"/>
      <c r="BR19" s="18"/>
      <c r="BS19" s="18"/>
      <c r="BU19" s="18"/>
      <c r="BV19" s="18"/>
      <c r="BX19" s="52">
        <f t="shared" si="27"/>
        <v>5390.0668455100249</v>
      </c>
      <c r="BY19" s="20"/>
      <c r="BZ19" s="20"/>
      <c r="CB19" s="22"/>
    </row>
    <row r="20" spans="1:81" x14ac:dyDescent="0.15">
      <c r="A20" s="12">
        <f t="shared" si="15"/>
        <v>2010</v>
      </c>
      <c r="B20" s="91">
        <v>30282.159092659924</v>
      </c>
      <c r="C20" s="12"/>
      <c r="D20" s="44">
        <v>18261</v>
      </c>
      <c r="E20" s="44">
        <v>27479.243273839995</v>
      </c>
      <c r="F20" s="44"/>
      <c r="G20" s="157">
        <f t="shared" si="7"/>
        <v>45740.243273839995</v>
      </c>
      <c r="H20" s="91">
        <v>16890</v>
      </c>
      <c r="I20" s="14">
        <f t="shared" si="20"/>
        <v>9.7344770098018465</v>
      </c>
      <c r="J20" s="14">
        <f t="shared" si="1"/>
        <v>9.8125229171620347</v>
      </c>
      <c r="K20" s="14">
        <f t="shared" si="1"/>
        <v>10.221186208615059</v>
      </c>
      <c r="L20" s="14">
        <f t="shared" si="8"/>
        <v>10.730733786186152</v>
      </c>
      <c r="M20" s="12"/>
      <c r="N20" s="120">
        <v>18148.099999999999</v>
      </c>
      <c r="O20" s="120">
        <v>7651.0586083691232</v>
      </c>
      <c r="P20" s="14"/>
      <c r="Q20" s="32">
        <f t="shared" si="2"/>
        <v>9.8063211510177357</v>
      </c>
      <c r="R20" s="32">
        <f t="shared" si="3"/>
        <v>8.9425992974258985</v>
      </c>
      <c r="S20" s="14"/>
      <c r="T20" s="14"/>
      <c r="U20" s="14"/>
      <c r="V20" s="14">
        <f t="shared" si="4"/>
        <v>-8.0299089498436782E-3</v>
      </c>
      <c r="W20" s="14"/>
      <c r="X20" s="14">
        <f t="shared" si="9"/>
        <v>-2.6856591820285658E-2</v>
      </c>
      <c r="Y20" s="14">
        <f t="shared" si="10"/>
        <v>-4.8418013190872244E-2</v>
      </c>
      <c r="Z20" s="14"/>
      <c r="AA20" s="14">
        <f t="shared" si="11"/>
        <v>-2.5855082654715388E-2</v>
      </c>
      <c r="AB20" s="14">
        <f t="shared" si="16"/>
        <v>-3.7726028500207322E-2</v>
      </c>
      <c r="AC20" s="15">
        <f t="shared" si="17"/>
        <v>3.8989981452569032E-3</v>
      </c>
      <c r="AD20" s="14">
        <f t="shared" si="12"/>
        <v>0</v>
      </c>
      <c r="AE20" s="14"/>
      <c r="AF20" s="34">
        <f t="shared" si="18"/>
        <v>-5.9682113009665805E-2</v>
      </c>
      <c r="AG20" s="16"/>
      <c r="AH20" s="34">
        <f t="shared" si="19"/>
        <v>3.2099317006059003E-2</v>
      </c>
      <c r="AI20" s="16"/>
      <c r="AJ20" s="33">
        <f t="shared" si="13"/>
        <v>-2.6499160502303942</v>
      </c>
      <c r="AK20" s="33">
        <f t="shared" si="14"/>
        <v>-4.7264552156832007</v>
      </c>
      <c r="AM20" s="17">
        <f t="shared" si="5"/>
        <v>10.730733786186152</v>
      </c>
      <c r="AN20" s="18">
        <f t="shared" si="6"/>
        <v>45740.243273839958</v>
      </c>
      <c r="AP20" s="14"/>
      <c r="AQ20" s="14"/>
      <c r="AR20" s="14"/>
      <c r="AT20" s="18"/>
      <c r="AU20" s="18"/>
      <c r="AW20" s="18"/>
      <c r="AX20" s="18"/>
      <c r="AZ20" s="18"/>
      <c r="BA20" s="18"/>
      <c r="BC20" s="19">
        <v>1.93</v>
      </c>
      <c r="BD20" s="19">
        <v>14.61</v>
      </c>
      <c r="BE20" s="45">
        <v>8.4367752666866949</v>
      </c>
      <c r="BF20" s="19">
        <f t="shared" si="21"/>
        <v>10.901328333887081</v>
      </c>
      <c r="BH20" s="22">
        <f t="shared" si="22"/>
        <v>2667.9320999999995</v>
      </c>
      <c r="BI20" s="22">
        <f t="shared" si="23"/>
        <v>2318.3619999999996</v>
      </c>
      <c r="BJ20" s="52">
        <f t="shared" si="24"/>
        <v>4986.2940999999992</v>
      </c>
      <c r="BK20" s="22">
        <f t="shared" si="25"/>
        <v>325.97700000000003</v>
      </c>
      <c r="BL20" s="91">
        <v>127.81909923997773</v>
      </c>
      <c r="BM20" s="52">
        <f t="shared" si="26"/>
        <v>5440.0901992399768</v>
      </c>
      <c r="BO20" s="18"/>
      <c r="BP20" s="18"/>
      <c r="BR20" s="18"/>
      <c r="BS20" s="18"/>
      <c r="BU20" s="18"/>
      <c r="BV20" s="18"/>
      <c r="BX20" s="52">
        <f t="shared" si="27"/>
        <v>5440.0901992399768</v>
      </c>
      <c r="BY20" s="20"/>
      <c r="BZ20" s="20"/>
      <c r="CB20" s="22"/>
    </row>
    <row r="21" spans="1:81" x14ac:dyDescent="0.15">
      <c r="A21" s="12">
        <f t="shared" si="15"/>
        <v>2011</v>
      </c>
      <c r="B21" s="91">
        <v>29006.970532959851</v>
      </c>
      <c r="C21" s="12"/>
      <c r="D21" s="44">
        <v>17370</v>
      </c>
      <c r="E21" s="44">
        <v>26061.890721659998</v>
      </c>
      <c r="F21" s="44"/>
      <c r="G21" s="157">
        <f t="shared" si="7"/>
        <v>43431.890721659998</v>
      </c>
      <c r="H21" s="91">
        <v>17784</v>
      </c>
      <c r="I21" s="14">
        <f t="shared" si="20"/>
        <v>9.7860544556440328</v>
      </c>
      <c r="J21" s="14">
        <f t="shared" si="1"/>
        <v>9.7624998592351506</v>
      </c>
      <c r="K21" s="14">
        <f t="shared" si="1"/>
        <v>10.16822940068171</v>
      </c>
      <c r="L21" s="14">
        <f t="shared" si="8"/>
        <v>10.678949259503193</v>
      </c>
      <c r="M21" s="12"/>
      <c r="N21" s="120">
        <v>17685.300000000003</v>
      </c>
      <c r="O21" s="120">
        <v>7022.5335921950627</v>
      </c>
      <c r="P21" s="14"/>
      <c r="Q21" s="32">
        <f t="shared" si="2"/>
        <v>9.7804890650241152</v>
      </c>
      <c r="R21" s="32">
        <f t="shared" si="3"/>
        <v>8.8568793424764003</v>
      </c>
      <c r="S21" s="14"/>
      <c r="T21" s="14"/>
      <c r="U21" s="14"/>
      <c r="V21" s="14">
        <f t="shared" si="4"/>
        <v>-2.4508489952928758E-2</v>
      </c>
      <c r="W21" s="14"/>
      <c r="X21" s="14">
        <f t="shared" si="9"/>
        <v>-2.5832085993620524E-2</v>
      </c>
      <c r="Y21" s="14">
        <f t="shared" si="10"/>
        <v>-8.5719954949498245E-2</v>
      </c>
      <c r="Z21" s="14"/>
      <c r="AA21" s="14">
        <f t="shared" si="11"/>
        <v>-2.4868781674832422E-2</v>
      </c>
      <c r="AB21" s="14">
        <f t="shared" si="16"/>
        <v>-6.2046715543838966E-3</v>
      </c>
      <c r="AC21" s="15">
        <f t="shared" si="17"/>
        <v>2.493021741931117E-3</v>
      </c>
      <c r="AD21" s="14">
        <f t="shared" si="12"/>
        <v>0</v>
      </c>
      <c r="AE21" s="14"/>
      <c r="AF21" s="34">
        <f t="shared" si="18"/>
        <v>-2.8580431487285202E-2</v>
      </c>
      <c r="AG21" s="16"/>
      <c r="AH21" s="34">
        <f t="shared" si="19"/>
        <v>-2.3204095195672986E-2</v>
      </c>
      <c r="AI21" s="16"/>
      <c r="AJ21" s="33">
        <f t="shared" si="13"/>
        <v>-2.5501292146285048</v>
      </c>
      <c r="AK21" s="33">
        <f t="shared" si="14"/>
        <v>-8.2148765072397651</v>
      </c>
      <c r="AM21" s="17">
        <f t="shared" si="5"/>
        <v>10.678949259503193</v>
      </c>
      <c r="AN21" s="18">
        <f t="shared" si="6"/>
        <v>43431.890721659984</v>
      </c>
      <c r="AP21" s="14"/>
      <c r="AQ21" s="14"/>
      <c r="AR21" s="14"/>
      <c r="AT21" s="18"/>
      <c r="AU21" s="18"/>
      <c r="AW21" s="18"/>
      <c r="AX21" s="18"/>
      <c r="AZ21" s="18"/>
      <c r="BA21" s="18"/>
      <c r="BC21" s="19">
        <v>1.93</v>
      </c>
      <c r="BD21" s="19">
        <v>14.61</v>
      </c>
      <c r="BE21" s="45">
        <v>8.1788118243795314</v>
      </c>
      <c r="BF21" s="19">
        <f t="shared" si="21"/>
        <v>10.750878956488439</v>
      </c>
      <c r="BH21" s="22">
        <f t="shared" si="22"/>
        <v>2537.7569999999996</v>
      </c>
      <c r="BI21" s="22">
        <f t="shared" si="23"/>
        <v>2131.5529999999999</v>
      </c>
      <c r="BJ21" s="52">
        <f t="shared" si="24"/>
        <v>4669.3099999999995</v>
      </c>
      <c r="BK21" s="22">
        <f t="shared" si="25"/>
        <v>343.23119999999994</v>
      </c>
      <c r="BL21" s="91">
        <v>118.73946202004663</v>
      </c>
      <c r="BM21" s="52">
        <f t="shared" si="26"/>
        <v>5131.2806620200463</v>
      </c>
      <c r="BO21" s="18"/>
      <c r="BP21" s="18"/>
      <c r="BR21" s="18"/>
      <c r="BS21" s="18"/>
      <c r="BU21" s="18"/>
      <c r="BV21" s="18"/>
      <c r="BX21" s="52">
        <f t="shared" si="27"/>
        <v>5131.2806620200463</v>
      </c>
      <c r="BY21" s="20"/>
      <c r="BZ21" s="20"/>
      <c r="CB21" s="22"/>
    </row>
    <row r="22" spans="1:81" x14ac:dyDescent="0.15">
      <c r="A22" s="12">
        <f t="shared" si="15"/>
        <v>2012</v>
      </c>
      <c r="B22" s="91">
        <v>28042.396972501825</v>
      </c>
      <c r="C22" s="12"/>
      <c r="D22" s="44">
        <v>16518</v>
      </c>
      <c r="E22" s="44">
        <v>24941.620954110003</v>
      </c>
      <c r="F22" s="44"/>
      <c r="G22" s="157">
        <f t="shared" si="7"/>
        <v>41459.620954110003</v>
      </c>
      <c r="H22" s="91">
        <v>18798</v>
      </c>
      <c r="I22" s="14">
        <f t="shared" si="20"/>
        <v>9.8415057601802474</v>
      </c>
      <c r="J22" s="14">
        <f t="shared" si="1"/>
        <v>9.7122059743706615</v>
      </c>
      <c r="K22" s="14">
        <f t="shared" si="1"/>
        <v>10.124293211272359</v>
      </c>
      <c r="L22" s="14">
        <f t="shared" si="8"/>
        <v>10.632475243500076</v>
      </c>
      <c r="M22" s="12"/>
      <c r="N22" s="120">
        <v>16901.900000000001</v>
      </c>
      <c r="O22" s="120">
        <v>6232.6715000471322</v>
      </c>
      <c r="P22" s="14"/>
      <c r="Q22" s="32">
        <f t="shared" si="2"/>
        <v>9.7351813206273352</v>
      </c>
      <c r="R22" s="32">
        <f t="shared" si="3"/>
        <v>8.7375603320744215</v>
      </c>
      <c r="S22" s="14"/>
      <c r="T22" s="14"/>
      <c r="U22" s="14"/>
      <c r="V22" s="14">
        <f t="shared" si="4"/>
        <v>-1.256100265368898E-2</v>
      </c>
      <c r="W22" s="14"/>
      <c r="X22" s="14">
        <f t="shared" si="9"/>
        <v>-4.5307744396779981E-2</v>
      </c>
      <c r="Y22" s="14">
        <f t="shared" si="10"/>
        <v>-0.11931901040197879</v>
      </c>
      <c r="Z22" s="14"/>
      <c r="AA22" s="14">
        <f t="shared" si="11"/>
        <v>-4.3618173300479658E-2</v>
      </c>
      <c r="AB22" s="14">
        <f t="shared" si="16"/>
        <v>-1.0984840786868302E-2</v>
      </c>
      <c r="AC22" s="15">
        <f t="shared" si="17"/>
        <v>7.6090773502159323E-3</v>
      </c>
      <c r="AD22" s="14">
        <f t="shared" si="12"/>
        <v>0</v>
      </c>
      <c r="AE22" s="14"/>
      <c r="AF22" s="34">
        <f t="shared" si="18"/>
        <v>-4.6993936737132029E-2</v>
      </c>
      <c r="AG22" s="16"/>
      <c r="AH22" s="34">
        <f t="shared" si="19"/>
        <v>5.1992073401507105E-4</v>
      </c>
      <c r="AI22" s="16"/>
      <c r="AJ22" s="33">
        <f t="shared" si="13"/>
        <v>-4.429667577027252</v>
      </c>
      <c r="AK22" s="33">
        <f t="shared" si="14"/>
        <v>-11.247537399120366</v>
      </c>
      <c r="AM22" s="17">
        <f t="shared" si="5"/>
        <v>10.632475243500076</v>
      </c>
      <c r="AN22" s="18">
        <f t="shared" si="6"/>
        <v>41459.620954109996</v>
      </c>
      <c r="AP22" s="14"/>
      <c r="AQ22" s="14"/>
      <c r="AR22" s="14"/>
      <c r="AT22" s="18"/>
      <c r="AU22" s="18"/>
      <c r="AW22" s="18"/>
      <c r="AX22" s="18"/>
      <c r="AZ22" s="18"/>
      <c r="BA22" s="18"/>
      <c r="BC22" s="19">
        <v>1.94</v>
      </c>
      <c r="BD22" s="19">
        <v>16.400540126528615</v>
      </c>
      <c r="BE22" s="45">
        <v>7.9928245388217025</v>
      </c>
      <c r="BF22" s="19">
        <f t="shared" si="21"/>
        <v>11.342557191502294</v>
      </c>
      <c r="BH22" s="22">
        <f t="shared" si="22"/>
        <v>2709.0412180999965</v>
      </c>
      <c r="BI22" s="22">
        <f t="shared" si="23"/>
        <v>1993.54</v>
      </c>
      <c r="BJ22" s="52">
        <f t="shared" si="24"/>
        <v>4702.5812180999965</v>
      </c>
      <c r="BK22" s="22">
        <f t="shared" si="25"/>
        <v>364.68120000000005</v>
      </c>
      <c r="BL22" s="91">
        <v>115</v>
      </c>
      <c r="BM22" s="52">
        <f t="shared" si="26"/>
        <v>5182.2624180999965</v>
      </c>
      <c r="BO22" s="18"/>
      <c r="BP22" s="18"/>
      <c r="BR22" s="18"/>
      <c r="BS22" s="18"/>
      <c r="BU22" s="18"/>
      <c r="BV22" s="18"/>
      <c r="BX22" s="52">
        <f t="shared" si="27"/>
        <v>5182.2624180999965</v>
      </c>
      <c r="BY22" s="20"/>
      <c r="BZ22" s="20"/>
      <c r="CB22" s="22"/>
    </row>
    <row r="23" spans="1:81" ht="11.25" thickBot="1" x14ac:dyDescent="0.2">
      <c r="A23" s="12">
        <f t="shared" si="15"/>
        <v>2013</v>
      </c>
      <c r="B23" s="91">
        <v>27498.776598164681</v>
      </c>
      <c r="C23" s="12"/>
      <c r="D23" s="44">
        <v>16316</v>
      </c>
      <c r="E23" s="44">
        <v>25016.445816972326</v>
      </c>
      <c r="F23" s="44"/>
      <c r="G23" s="157">
        <f t="shared" si="7"/>
        <v>41332.445816972322</v>
      </c>
      <c r="H23" s="91">
        <v>19232</v>
      </c>
      <c r="I23" s="14">
        <f t="shared" si="20"/>
        <v>9.8643308373349345</v>
      </c>
      <c r="J23" s="14">
        <f t="shared" si="1"/>
        <v>9.6999015004374485</v>
      </c>
      <c r="K23" s="14">
        <f t="shared" si="1"/>
        <v>10.127288720252158</v>
      </c>
      <c r="L23" s="14">
        <f t="shared" si="8"/>
        <v>10.629403083518509</v>
      </c>
      <c r="M23" s="12"/>
      <c r="N23" s="120">
        <v>16350.8</v>
      </c>
      <c r="O23" s="120">
        <v>5726.6694966402956</v>
      </c>
      <c r="P23" s="14"/>
      <c r="Q23" s="32">
        <f t="shared" si="2"/>
        <v>9.7020321047919911</v>
      </c>
      <c r="R23" s="32">
        <f t="shared" si="3"/>
        <v>8.6528894010446873</v>
      </c>
      <c r="S23" s="14"/>
      <c r="T23" s="14"/>
      <c r="U23" s="14"/>
      <c r="V23" s="14">
        <f t="shared" si="4"/>
        <v>2.6813968618352613E-2</v>
      </c>
      <c r="W23" s="14"/>
      <c r="X23" s="14">
        <f t="shared" si="9"/>
        <v>-3.3149215835344137E-2</v>
      </c>
      <c r="Y23" s="14">
        <f t="shared" si="10"/>
        <v>-8.467093102973422E-2</v>
      </c>
      <c r="Z23" s="14"/>
      <c r="AA23" s="14">
        <f t="shared" si="11"/>
        <v>-3.1913048427628321E-2</v>
      </c>
      <c r="AB23" s="14">
        <f t="shared" si="16"/>
        <v>-1.5290492544992779E-2</v>
      </c>
      <c r="AC23" s="15">
        <f t="shared" si="17"/>
        <v>3.8997768108828563E-3</v>
      </c>
      <c r="AD23" s="14">
        <f t="shared" si="12"/>
        <v>0</v>
      </c>
      <c r="AE23" s="14"/>
      <c r="AF23" s="34">
        <f t="shared" si="18"/>
        <v>-4.3303764161738242E-2</v>
      </c>
      <c r="AG23" s="16"/>
      <c r="AH23" s="34">
        <f t="shared" si="19"/>
        <v>4.0231604180171174E-2</v>
      </c>
      <c r="AI23" s="16"/>
      <c r="AJ23" s="33">
        <f t="shared" si="13"/>
        <v>-3.2605801714600258</v>
      </c>
      <c r="AK23" s="33">
        <f t="shared" si="14"/>
        <v>-8.1185411970293941</v>
      </c>
      <c r="AM23" s="17">
        <f t="shared" si="5"/>
        <v>10.629403083518509</v>
      </c>
      <c r="AN23" s="18">
        <f t="shared" si="6"/>
        <v>41332.445816972322</v>
      </c>
      <c r="AP23" s="14"/>
      <c r="AQ23" s="14"/>
      <c r="AR23" s="14"/>
      <c r="AT23" s="18">
        <f>AM23</f>
        <v>10.629403083518509</v>
      </c>
      <c r="AU23" s="18">
        <f>AM23</f>
        <v>10.629403083518509</v>
      </c>
      <c r="AW23" s="18">
        <f>AN23</f>
        <v>41332.445816972322</v>
      </c>
      <c r="AX23" s="18">
        <f>AN23</f>
        <v>41332.445816972322</v>
      </c>
      <c r="AZ23" s="18">
        <f>AO23</f>
        <v>0</v>
      </c>
      <c r="BA23" s="18">
        <f>AO23</f>
        <v>0</v>
      </c>
      <c r="BC23" s="19">
        <v>1.95</v>
      </c>
      <c r="BD23" s="19">
        <v>19.590019612650146</v>
      </c>
      <c r="BE23" s="45">
        <v>7.6333905062742193</v>
      </c>
      <c r="BF23" s="19">
        <f t="shared" si="21"/>
        <v>12.353274767745198</v>
      </c>
      <c r="BH23" s="22">
        <f t="shared" si="22"/>
        <v>3196.3075999999978</v>
      </c>
      <c r="BI23" s="22">
        <f t="shared" si="23"/>
        <v>1909.6029999999996</v>
      </c>
      <c r="BJ23" s="52">
        <f t="shared" si="24"/>
        <v>5105.9105999999974</v>
      </c>
      <c r="BK23" s="22">
        <f t="shared" si="25"/>
        <v>375.024</v>
      </c>
      <c r="BL23" s="108">
        <v>81</v>
      </c>
      <c r="BM23" s="52">
        <f>+BJ23+BK23+BL23</f>
        <v>5561.9345999999978</v>
      </c>
      <c r="BO23" s="19">
        <f>+BC23*AT23/100</f>
        <v>0.20727336012861092</v>
      </c>
      <c r="BP23" s="19">
        <f>+BC23*AU23/100</f>
        <v>0.20727336012861092</v>
      </c>
      <c r="BR23" s="19">
        <f>+BD23*AW23/100</f>
        <v>8097.0342419328726</v>
      </c>
      <c r="BS23" s="19">
        <f>+BD23*AX23/100</f>
        <v>8097.0342419328726</v>
      </c>
      <c r="BU23" s="19">
        <f>+BE23*AZ23/100</f>
        <v>0</v>
      </c>
      <c r="BV23" s="19">
        <f>+BE23*BA23/100</f>
        <v>0</v>
      </c>
      <c r="BX23" s="52">
        <f>+BJ23+BK23+BL23</f>
        <v>5561.9345999999978</v>
      </c>
      <c r="BY23" s="20">
        <f>+BO23+BR23+BU23</f>
        <v>8097.2415152930016</v>
      </c>
      <c r="BZ23" s="20">
        <f t="shared" ref="BZ23" si="28">+BP23+BS23+BV23</f>
        <v>8097.2415152930016</v>
      </c>
      <c r="CB23" s="22"/>
      <c r="CC23" s="42"/>
    </row>
    <row r="24" spans="1:81" s="105" customFormat="1" x14ac:dyDescent="0.15">
      <c r="A24" s="124">
        <f>A23+1</f>
        <v>2014</v>
      </c>
      <c r="B24" s="164"/>
      <c r="C24" s="124"/>
      <c r="D24" s="113"/>
      <c r="E24" s="113"/>
      <c r="F24" s="113"/>
      <c r="G24" s="113">
        <f>+AN24</f>
        <v>41021.753886081206</v>
      </c>
      <c r="H24" s="121"/>
      <c r="I24" s="118"/>
      <c r="J24" s="118"/>
      <c r="K24" s="118"/>
      <c r="L24" s="118"/>
      <c r="M24" s="124"/>
      <c r="N24" s="165">
        <f t="shared" ref="N24:O28" si="29">N23*(1+AJ24/100)</f>
        <v>16549.523090585793</v>
      </c>
      <c r="O24" s="165">
        <f t="shared" si="29"/>
        <v>5744.2701817633206</v>
      </c>
      <c r="P24" s="118"/>
      <c r="Q24" s="166">
        <f t="shared" si="2"/>
        <v>9.7141125641112076</v>
      </c>
      <c r="R24" s="166">
        <f t="shared" si="3"/>
        <v>8.6559581468369071</v>
      </c>
      <c r="S24" s="118"/>
      <c r="T24" s="115"/>
      <c r="U24" s="115"/>
      <c r="V24" s="115">
        <f t="shared" si="4"/>
        <v>6.9367471234714762E-3</v>
      </c>
      <c r="W24" s="115"/>
      <c r="X24" s="115">
        <f t="shared" si="9"/>
        <v>1.208045931921653E-2</v>
      </c>
      <c r="Y24" s="115">
        <f t="shared" si="10"/>
        <v>3.0687457922198291E-3</v>
      </c>
      <c r="Z24" s="115"/>
      <c r="AA24" s="115">
        <f t="shared" si="11"/>
        <v>1.1629966910743627E-2</v>
      </c>
      <c r="AB24" s="115">
        <f t="shared" si="16"/>
        <v>-1.0850410469598382E-2</v>
      </c>
      <c r="AC24" s="115">
        <f t="shared" si="17"/>
        <v>-8.3248523950340807E-3</v>
      </c>
      <c r="AD24" s="115">
        <f t="shared" si="12"/>
        <v>0</v>
      </c>
      <c r="AE24" s="115"/>
      <c r="AF24" s="186">
        <f t="shared" si="18"/>
        <v>-7.5452959538888364E-3</v>
      </c>
      <c r="AG24" s="118"/>
      <c r="AH24" s="115"/>
      <c r="AI24" s="118"/>
      <c r="AJ24" s="127">
        <f>Resultados_actividad_eco!C6</f>
        <v>1.2153722789453341</v>
      </c>
      <c r="AK24" s="127">
        <f>Resultados_actividad_eco!D6</f>
        <v>0.30734592127851279</v>
      </c>
      <c r="AL24" s="118"/>
      <c r="AM24" s="128">
        <f>AM23+AF24</f>
        <v>10.62185778756462</v>
      </c>
      <c r="AN24" s="114">
        <f t="shared" si="6"/>
        <v>41021.753886081206</v>
      </c>
      <c r="AO24" s="118"/>
      <c r="AP24" s="114">
        <v>7741.7766943010802</v>
      </c>
      <c r="AQ24" s="114">
        <v>7741.7766943010802</v>
      </c>
      <c r="AR24" s="114">
        <v>7741.7766943010802</v>
      </c>
      <c r="AS24" s="118"/>
      <c r="AT24" s="114">
        <f>AM24-AP24</f>
        <v>-7731.1548365135159</v>
      </c>
      <c r="AU24" s="114">
        <f>AM24+AP24</f>
        <v>7752.3985520886445</v>
      </c>
      <c r="AV24" s="118"/>
      <c r="AW24" s="114">
        <f>AN24-AS24</f>
        <v>41021.753886081206</v>
      </c>
      <c r="AX24" s="114">
        <f>AN24+AS24</f>
        <v>41021.753886081206</v>
      </c>
      <c r="AY24" s="118"/>
      <c r="AZ24" s="114">
        <f>AO24-AV24</f>
        <v>0</v>
      </c>
      <c r="BA24" s="114">
        <f>AO24+AV24</f>
        <v>0</v>
      </c>
      <c r="BB24" s="118"/>
      <c r="BC24" s="116"/>
      <c r="BD24" s="116">
        <f>+Resultados_actividad_eco!E6</f>
        <v>19.590019612650146</v>
      </c>
      <c r="BE24" s="116">
        <f>+Resultados_actividad_eco!F6</f>
        <v>7.6333905062742193</v>
      </c>
      <c r="BF24" s="116">
        <f>+BD24*0.39+BE24*0.62</f>
        <v>12.372809762823573</v>
      </c>
      <c r="BG24" s="118"/>
      <c r="BH24" s="116"/>
      <c r="BI24" s="116"/>
      <c r="BJ24" s="114">
        <f t="shared" si="24"/>
        <v>5075.5435696985141</v>
      </c>
      <c r="BK24" s="117">
        <f>+AVERAGE(BK19:BK23)</f>
        <v>341.38716000000005</v>
      </c>
      <c r="BL24" s="117">
        <f>+AVERAGE(BL19:BL23)</f>
        <v>116.32834135400972</v>
      </c>
      <c r="BM24" s="117">
        <f t="shared" si="26"/>
        <v>5533.2590710525237</v>
      </c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7">
        <f t="shared" ref="BX24:BX28" si="30">+BJ24+BK24+BL24</f>
        <v>5533.2590710525237</v>
      </c>
      <c r="BY24" s="118"/>
      <c r="BZ24" s="118"/>
    </row>
    <row r="25" spans="1:81" s="105" customFormat="1" x14ac:dyDescent="0.15">
      <c r="A25" s="124">
        <f t="shared" si="15"/>
        <v>2015</v>
      </c>
      <c r="B25" s="164"/>
      <c r="C25" s="124"/>
      <c r="D25" s="113"/>
      <c r="E25" s="113"/>
      <c r="F25" s="113"/>
      <c r="G25" s="113">
        <f t="shared" ref="G25:G28" si="31">+AN25</f>
        <v>41374.524659325092</v>
      </c>
      <c r="H25" s="121"/>
      <c r="I25" s="118"/>
      <c r="J25" s="118"/>
      <c r="K25" s="118"/>
      <c r="L25" s="118"/>
      <c r="M25" s="124"/>
      <c r="N25" s="165">
        <f t="shared" si="29"/>
        <v>16727.93997309875</v>
      </c>
      <c r="O25" s="165">
        <f t="shared" si="29"/>
        <v>5699.6846301942824</v>
      </c>
      <c r="P25" s="118"/>
      <c r="Q25" s="166">
        <f t="shared" si="2"/>
        <v>9.7248356526933009</v>
      </c>
      <c r="R25" s="166">
        <f t="shared" si="3"/>
        <v>8.6481661242558978</v>
      </c>
      <c r="S25" s="118"/>
      <c r="T25" s="115"/>
      <c r="U25" s="115"/>
      <c r="V25" s="115">
        <f t="shared" si="4"/>
        <v>5.740430622270587E-3</v>
      </c>
      <c r="W25" s="115"/>
      <c r="X25" s="115">
        <f t="shared" si="9"/>
        <v>1.0723088582093254E-2</v>
      </c>
      <c r="Y25" s="115">
        <f t="shared" si="10"/>
        <v>-7.7920225810093058E-3</v>
      </c>
      <c r="Z25" s="115"/>
      <c r="AA25" s="115">
        <f t="shared" si="11"/>
        <v>1.0323213885778415E-2</v>
      </c>
      <c r="AB25" s="115">
        <f t="shared" si="16"/>
        <v>3.9325363578138672E-4</v>
      </c>
      <c r="AC25" s="115">
        <f t="shared" si="17"/>
        <v>-2.1536310691828188E-3</v>
      </c>
      <c r="AD25" s="115">
        <f t="shared" si="12"/>
        <v>0</v>
      </c>
      <c r="AE25" s="115"/>
      <c r="AF25" s="186">
        <f t="shared" si="18"/>
        <v>8.5628364523769838E-3</v>
      </c>
      <c r="AG25" s="118"/>
      <c r="AH25" s="115"/>
      <c r="AI25" s="118"/>
      <c r="AJ25" s="41">
        <f>Resultados_actividad_eco!C7</f>
        <v>1.078078694693325</v>
      </c>
      <c r="AK25" s="41">
        <f>Resultados_actividad_eco!D7</f>
        <v>-0.77617434692725018</v>
      </c>
      <c r="AL25" s="129"/>
      <c r="AM25" s="128">
        <f>AM24+AF25</f>
        <v>10.630420624016997</v>
      </c>
      <c r="AN25" s="114">
        <f t="shared" si="6"/>
        <v>41374.524659325092</v>
      </c>
      <c r="AO25" s="118"/>
      <c r="AP25" s="114">
        <v>8898.1809606739607</v>
      </c>
      <c r="AQ25" s="114">
        <v>8898.1809606739607</v>
      </c>
      <c r="AR25" s="114">
        <v>8898.1809606739607</v>
      </c>
      <c r="AS25" s="118"/>
      <c r="AT25" s="114">
        <f>AM25-AP25</f>
        <v>-8887.5505400499442</v>
      </c>
      <c r="AU25" s="114">
        <f>AM25+AP25</f>
        <v>8908.8113812979773</v>
      </c>
      <c r="AV25" s="118"/>
      <c r="AW25" s="114">
        <f>AN25-AS25</f>
        <v>41374.524659325092</v>
      </c>
      <c r="AX25" s="114">
        <f>AN25+AS25</f>
        <v>41374.524659325092</v>
      </c>
      <c r="AY25" s="118"/>
      <c r="AZ25" s="114">
        <f>AO25-AV25</f>
        <v>0</v>
      </c>
      <c r="BA25" s="114">
        <f>AO25+AV25</f>
        <v>0</v>
      </c>
      <c r="BB25" s="118"/>
      <c r="BC25" s="116"/>
      <c r="BD25" s="116">
        <f>+Resultados_actividad_eco!E7</f>
        <v>19.590019612650146</v>
      </c>
      <c r="BE25" s="116">
        <f>+Resultados_actividad_eco!F7</f>
        <v>7.6333905062742193</v>
      </c>
      <c r="BF25" s="116">
        <f t="shared" ref="BF25:BF28" si="32">+BD25*0.39+BE25*0.62</f>
        <v>12.372809762823573</v>
      </c>
      <c r="BG25" s="118"/>
      <c r="BH25" s="116"/>
      <c r="BI25" s="116"/>
      <c r="BJ25" s="114">
        <f t="shared" si="24"/>
        <v>5119.1912263708218</v>
      </c>
      <c r="BK25" s="117">
        <f t="shared" ref="BK25:BL28" si="33">+AVERAGE(BK20:BK24)</f>
        <v>350.060112</v>
      </c>
      <c r="BL25" s="117">
        <f t="shared" si="33"/>
        <v>111.77738052280681</v>
      </c>
      <c r="BM25" s="117">
        <f t="shared" si="26"/>
        <v>5581.028718893629</v>
      </c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7">
        <f t="shared" si="30"/>
        <v>5581.028718893629</v>
      </c>
      <c r="BY25" s="118"/>
      <c r="BZ25" s="118"/>
    </row>
    <row r="26" spans="1:81" s="105" customFormat="1" x14ac:dyDescent="0.15">
      <c r="A26" s="124">
        <f>A25+1</f>
        <v>2016</v>
      </c>
      <c r="B26" s="164"/>
      <c r="C26" s="124"/>
      <c r="D26" s="113"/>
      <c r="E26" s="113"/>
      <c r="F26" s="113"/>
      <c r="G26" s="113">
        <f t="shared" si="31"/>
        <v>41614.10850786946</v>
      </c>
      <c r="H26" s="121"/>
      <c r="I26" s="118"/>
      <c r="J26" s="118"/>
      <c r="K26" s="118"/>
      <c r="L26" s="118"/>
      <c r="M26" s="124"/>
      <c r="N26" s="165">
        <f t="shared" si="29"/>
        <v>16877.247287388469</v>
      </c>
      <c r="O26" s="165">
        <f t="shared" si="29"/>
        <v>5585.2452869182725</v>
      </c>
      <c r="P26" s="118"/>
      <c r="Q26" s="166">
        <f t="shared" si="2"/>
        <v>9.7337216794600323</v>
      </c>
      <c r="R26" s="166">
        <f t="shared" si="3"/>
        <v>8.6278836294141463</v>
      </c>
      <c r="S26" s="118"/>
      <c r="T26" s="115"/>
      <c r="U26" s="115"/>
      <c r="V26" s="115">
        <f t="shared" si="4"/>
        <v>4.9878593134956573E-3</v>
      </c>
      <c r="W26" s="115"/>
      <c r="X26" s="115">
        <f t="shared" si="9"/>
        <v>8.8860267667314474E-3</v>
      </c>
      <c r="Y26" s="115">
        <f t="shared" si="10"/>
        <v>-2.0282494841751486E-2</v>
      </c>
      <c r="Z26" s="115"/>
      <c r="AA26" s="115">
        <f t="shared" si="11"/>
        <v>8.5546579425732662E-3</v>
      </c>
      <c r="AB26" s="115">
        <f t="shared" si="16"/>
        <v>-9.9853210971118057E-4</v>
      </c>
      <c r="AC26" s="115">
        <f t="shared" si="17"/>
        <v>-1.7822142740044824E-3</v>
      </c>
      <c r="AD26" s="115">
        <f t="shared" si="12"/>
        <v>0</v>
      </c>
      <c r="AE26" s="115"/>
      <c r="AF26" s="186">
        <f t="shared" si="18"/>
        <v>5.7739115588576031E-3</v>
      </c>
      <c r="AG26" s="118"/>
      <c r="AH26" s="115"/>
      <c r="AI26" s="118"/>
      <c r="AJ26" s="41">
        <f>Resultados_actividad_eco!C8</f>
        <v>0.89256247051239901</v>
      </c>
      <c r="AK26" s="41">
        <f>Resultados_actividad_eco!D8</f>
        <v>-2.0078188654467559</v>
      </c>
      <c r="AL26" s="118"/>
      <c r="AM26" s="128">
        <f>AM25+AF26</f>
        <v>10.636194535575855</v>
      </c>
      <c r="AN26" s="114">
        <f t="shared" si="6"/>
        <v>41614.10850786946</v>
      </c>
      <c r="AO26" s="118"/>
      <c r="AP26" s="114">
        <v>7741.7766943010802</v>
      </c>
      <c r="AQ26" s="114">
        <v>7741.7766943010802</v>
      </c>
      <c r="AR26" s="114">
        <v>7741.7766943010802</v>
      </c>
      <c r="AS26" s="118"/>
      <c r="AT26" s="114">
        <f>AM26-AP26</f>
        <v>-7731.1404997655045</v>
      </c>
      <c r="AU26" s="114">
        <f>AM26+AP26</f>
        <v>7752.4128888366558</v>
      </c>
      <c r="AV26" s="118"/>
      <c r="AW26" s="114">
        <f>AN26-AS26</f>
        <v>41614.10850786946</v>
      </c>
      <c r="AX26" s="114">
        <f>AN26+AS26</f>
        <v>41614.10850786946</v>
      </c>
      <c r="AY26" s="118"/>
      <c r="AZ26" s="114">
        <f>AO26-AV26</f>
        <v>0</v>
      </c>
      <c r="BA26" s="114">
        <f>AO26+AV26</f>
        <v>0</v>
      </c>
      <c r="BB26" s="118"/>
      <c r="BC26" s="116"/>
      <c r="BD26" s="116">
        <f>+Resultados_actividad_eco!E8</f>
        <v>19.590019612650146</v>
      </c>
      <c r="BE26" s="116">
        <f>+Resultados_actividad_eco!F8</f>
        <v>7.6333905062742193</v>
      </c>
      <c r="BF26" s="116">
        <f t="shared" si="32"/>
        <v>12.372809762823573</v>
      </c>
      <c r="BG26" s="118"/>
      <c r="BH26" s="116"/>
      <c r="BI26" s="116"/>
      <c r="BJ26" s="114">
        <f t="shared" si="24"/>
        <v>5148.8344801736675</v>
      </c>
      <c r="BK26" s="117">
        <f t="shared" si="33"/>
        <v>354.87673439999998</v>
      </c>
      <c r="BL26" s="117">
        <f t="shared" si="33"/>
        <v>108.56903677937262</v>
      </c>
      <c r="BM26" s="117">
        <f t="shared" si="26"/>
        <v>5612.2802513530396</v>
      </c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7">
        <f t="shared" si="30"/>
        <v>5612.2802513530396</v>
      </c>
      <c r="BY26" s="118"/>
      <c r="BZ26" s="118"/>
    </row>
    <row r="27" spans="1:81" s="105" customFormat="1" x14ac:dyDescent="0.15">
      <c r="A27" s="124">
        <f t="shared" si="15"/>
        <v>2017</v>
      </c>
      <c r="B27" s="164"/>
      <c r="C27" s="124"/>
      <c r="D27" s="113"/>
      <c r="E27" s="113"/>
      <c r="F27" s="113"/>
      <c r="G27" s="113">
        <f t="shared" si="31"/>
        <v>41710.644097483433</v>
      </c>
      <c r="H27" s="121"/>
      <c r="I27" s="118"/>
      <c r="J27" s="118"/>
      <c r="K27" s="118"/>
      <c r="L27" s="118"/>
      <c r="M27" s="124"/>
      <c r="N27" s="165">
        <f t="shared" si="29"/>
        <v>16990.963418061041</v>
      </c>
      <c r="O27" s="165">
        <f t="shared" si="29"/>
        <v>5408.0470688397309</v>
      </c>
      <c r="P27" s="118"/>
      <c r="Q27" s="166">
        <f t="shared" si="2"/>
        <v>9.7404369180648445</v>
      </c>
      <c r="R27" s="166">
        <f t="shared" si="3"/>
        <v>8.5956433212425676</v>
      </c>
      <c r="S27" s="118"/>
      <c r="T27" s="115"/>
      <c r="U27" s="115"/>
      <c r="V27" s="115">
        <f t="shared" si="4"/>
        <v>4.2821113643813913E-3</v>
      </c>
      <c r="W27" s="115"/>
      <c r="X27" s="115">
        <f t="shared" si="9"/>
        <v>6.7152386048121571E-3</v>
      </c>
      <c r="Y27" s="115">
        <f t="shared" si="10"/>
        <v>-3.2240308171578747E-2</v>
      </c>
      <c r="Z27" s="115"/>
      <c r="AA27" s="115">
        <f t="shared" si="11"/>
        <v>6.4648206420001072E-3</v>
      </c>
      <c r="AB27" s="115">
        <f t="shared" si="16"/>
        <v>-2.5991611489807696E-3</v>
      </c>
      <c r="AC27" s="115">
        <f t="shared" si="17"/>
        <v>-1.5485657174830563E-3</v>
      </c>
      <c r="AD27" s="115">
        <f t="shared" si="12"/>
        <v>0</v>
      </c>
      <c r="AE27" s="115"/>
      <c r="AF27" s="186">
        <f t="shared" si="18"/>
        <v>2.3170937755362811E-3</v>
      </c>
      <c r="AG27" s="118"/>
      <c r="AH27" s="115"/>
      <c r="AI27" s="118"/>
      <c r="AJ27" s="41">
        <f>Resultados_actividad_eco!C9</f>
        <v>0.67378363743917391</v>
      </c>
      <c r="AK27" s="41">
        <f>Resultados_actividad_eco!D9</f>
        <v>-3.1726130004276509</v>
      </c>
      <c r="AL27" s="129"/>
      <c r="AM27" s="128">
        <f>AM26+AF27</f>
        <v>10.638511629351392</v>
      </c>
      <c r="AN27" s="114">
        <f t="shared" si="6"/>
        <v>41710.644097483433</v>
      </c>
      <c r="AO27" s="118"/>
      <c r="AP27" s="114">
        <v>8898.1809606739607</v>
      </c>
      <c r="AQ27" s="114">
        <v>8898.1809606739607</v>
      </c>
      <c r="AR27" s="114">
        <v>8898.1809606739607</v>
      </c>
      <c r="AS27" s="118"/>
      <c r="AT27" s="114">
        <f>AM27-AP27</f>
        <v>-8887.5424490446094</v>
      </c>
      <c r="AU27" s="114">
        <f>AM27+AP27</f>
        <v>8908.8194723033121</v>
      </c>
      <c r="AV27" s="118"/>
      <c r="AW27" s="114">
        <f>AN27-AS27</f>
        <v>41710.644097483433</v>
      </c>
      <c r="AX27" s="114">
        <f>AN27+AS27</f>
        <v>41710.644097483433</v>
      </c>
      <c r="AY27" s="118"/>
      <c r="AZ27" s="114">
        <f>AO27-AV27</f>
        <v>0</v>
      </c>
      <c r="BA27" s="114">
        <f>AO27+AV27</f>
        <v>0</v>
      </c>
      <c r="BB27" s="118"/>
      <c r="BC27" s="116"/>
      <c r="BD27" s="116">
        <f>+Resultados_actividad_eco!E9</f>
        <v>19.590019612650146</v>
      </c>
      <c r="BE27" s="116">
        <f>+Resultados_actividad_eco!F9</f>
        <v>7.6333905062742193</v>
      </c>
      <c r="BF27" s="116">
        <f t="shared" si="32"/>
        <v>12.372809762823573</v>
      </c>
      <c r="BG27" s="118"/>
      <c r="BH27" s="116"/>
      <c r="BI27" s="116"/>
      <c r="BJ27" s="114">
        <f t="shared" si="24"/>
        <v>5160.7786450300246</v>
      </c>
      <c r="BK27" s="117">
        <f t="shared" si="33"/>
        <v>357.20584128000007</v>
      </c>
      <c r="BL27" s="117">
        <f t="shared" si="33"/>
        <v>106.53495173123784</v>
      </c>
      <c r="BM27" s="117">
        <f t="shared" si="26"/>
        <v>5624.5194380412622</v>
      </c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7">
        <f t="shared" si="30"/>
        <v>5624.5194380412622</v>
      </c>
      <c r="BY27" s="118"/>
      <c r="BZ27" s="118"/>
    </row>
    <row r="28" spans="1:81" s="105" customFormat="1" ht="11.25" thickBot="1" x14ac:dyDescent="0.2">
      <c r="A28" s="124">
        <f>A27+1</f>
        <v>2018</v>
      </c>
      <c r="B28" s="164"/>
      <c r="C28" s="124"/>
      <c r="D28" s="113"/>
      <c r="E28" s="113"/>
      <c r="F28" s="113"/>
      <c r="G28" s="113">
        <f t="shared" si="31"/>
        <v>41654.378277225485</v>
      </c>
      <c r="H28" s="121"/>
      <c r="I28" s="118"/>
      <c r="J28" s="118"/>
      <c r="K28" s="118"/>
      <c r="L28" s="118"/>
      <c r="M28" s="124"/>
      <c r="N28" s="165">
        <f t="shared" si="29"/>
        <v>17063.676175984117</v>
      </c>
      <c r="O28" s="165">
        <f t="shared" si="29"/>
        <v>5172.735094294273</v>
      </c>
      <c r="P28" s="118"/>
      <c r="Q28" s="166">
        <f t="shared" si="2"/>
        <v>9.7447072829425299</v>
      </c>
      <c r="R28" s="166">
        <f t="shared" si="3"/>
        <v>8.5511568593928882</v>
      </c>
      <c r="S28" s="118"/>
      <c r="T28" s="115"/>
      <c r="U28" s="115"/>
      <c r="V28" s="115">
        <f t="shared" si="4"/>
        <v>3.7175259237047786E-3</v>
      </c>
      <c r="W28" s="115"/>
      <c r="X28" s="115">
        <f t="shared" si="9"/>
        <v>4.2703648776853953E-3</v>
      </c>
      <c r="Y28" s="115">
        <f t="shared" si="10"/>
        <v>-4.4486461849679415E-2</v>
      </c>
      <c r="Z28" s="115"/>
      <c r="AA28" s="115">
        <f t="shared" si="11"/>
        <v>4.111118701031629E-3</v>
      </c>
      <c r="AB28" s="115">
        <f t="shared" si="16"/>
        <v>-4.1315310115714737E-3</v>
      </c>
      <c r="AC28" s="115">
        <f t="shared" si="17"/>
        <v>-1.3294542689653974E-3</v>
      </c>
      <c r="AD28" s="115">
        <f t="shared" si="12"/>
        <v>0</v>
      </c>
      <c r="AE28" s="115"/>
      <c r="AF28" s="186">
        <f t="shared" si="18"/>
        <v>-1.3498665795052421E-3</v>
      </c>
      <c r="AG28" s="118"/>
      <c r="AH28" s="115"/>
      <c r="AI28" s="118"/>
      <c r="AJ28" s="54">
        <f>Resultados_actividad_eco!C10</f>
        <v>0.4279495878719986</v>
      </c>
      <c r="AK28" s="54">
        <f>Resultados_actividad_eco!D10</f>
        <v>-4.3511450908274565</v>
      </c>
      <c r="AL28" s="118"/>
      <c r="AM28" s="128">
        <f>AM27+AF28</f>
        <v>10.637161762771887</v>
      </c>
      <c r="AN28" s="114">
        <f t="shared" si="6"/>
        <v>41654.378277225485</v>
      </c>
      <c r="AO28" s="118"/>
      <c r="AP28" s="114">
        <v>7741.7766943010802</v>
      </c>
      <c r="AQ28" s="114">
        <v>7741.7766943010802</v>
      </c>
      <c r="AR28" s="114">
        <v>7741.7766943010802</v>
      </c>
      <c r="AS28" s="118"/>
      <c r="AT28" s="114">
        <f>AM28-AP28</f>
        <v>-7731.1395325383082</v>
      </c>
      <c r="AU28" s="114">
        <f>AM28+AP28</f>
        <v>7752.4138560638521</v>
      </c>
      <c r="AV28" s="118"/>
      <c r="AW28" s="114">
        <f>AN28-AS28</f>
        <v>41654.378277225485</v>
      </c>
      <c r="AX28" s="114">
        <f>AN28+AS28</f>
        <v>41654.378277225485</v>
      </c>
      <c r="AY28" s="118"/>
      <c r="AZ28" s="114">
        <f>AO28-AV28</f>
        <v>0</v>
      </c>
      <c r="BA28" s="114">
        <f>AO28+AV28</f>
        <v>0</v>
      </c>
      <c r="BB28" s="118"/>
      <c r="BC28" s="116"/>
      <c r="BD28" s="116">
        <f>+Resultados_actividad_eco!E10</f>
        <v>19.590019612650146</v>
      </c>
      <c r="BE28" s="116">
        <f>+Resultados_actividad_eco!F10</f>
        <v>7.6333905062742193</v>
      </c>
      <c r="BF28" s="116">
        <f t="shared" si="32"/>
        <v>12.372809762823573</v>
      </c>
      <c r="BG28" s="118"/>
      <c r="BH28" s="116"/>
      <c r="BI28" s="116"/>
      <c r="BJ28" s="114">
        <f t="shared" si="24"/>
        <v>5153.8169821280162</v>
      </c>
      <c r="BK28" s="117">
        <f t="shared" si="33"/>
        <v>355.71076953600004</v>
      </c>
      <c r="BL28" s="117">
        <f t="shared" si="33"/>
        <v>104.8419420774854</v>
      </c>
      <c r="BM28" s="117">
        <f t="shared" si="26"/>
        <v>5614.3696937415016</v>
      </c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7">
        <f t="shared" si="30"/>
        <v>5614.3696937415016</v>
      </c>
      <c r="BY28" s="118"/>
      <c r="BZ28" s="118"/>
    </row>
    <row r="29" spans="1:81" x14ac:dyDescent="0.15">
      <c r="Q29" s="35"/>
      <c r="R29" s="35"/>
      <c r="AZ29" s="23"/>
      <c r="BY29" s="24"/>
      <c r="BZ29" s="24"/>
    </row>
    <row r="30" spans="1:81" x14ac:dyDescent="0.15">
      <c r="Q30" s="35"/>
      <c r="R30" s="35"/>
      <c r="BY30" s="24"/>
      <c r="BZ30" s="24"/>
    </row>
    <row r="31" spans="1:81" x14ac:dyDescent="0.15">
      <c r="Q31" s="35"/>
      <c r="R31" s="35"/>
    </row>
    <row r="32" spans="1:81" x14ac:dyDescent="0.15">
      <c r="Q32" s="35"/>
      <c r="R32" s="35"/>
    </row>
    <row r="33" spans="17:63" x14ac:dyDescent="0.15">
      <c r="Q33" s="35"/>
      <c r="R33" s="35"/>
      <c r="BC33" s="42"/>
      <c r="BD33" s="42"/>
      <c r="BE33" s="42"/>
      <c r="BF33" s="42"/>
      <c r="BG33" s="42"/>
      <c r="BH33" s="42"/>
      <c r="BK33" s="42"/>
    </row>
    <row r="34" spans="17:63" x14ac:dyDescent="0.15">
      <c r="Q34" s="35"/>
      <c r="R34" s="35"/>
      <c r="BC34" s="42"/>
      <c r="BD34" s="42"/>
      <c r="BE34" s="42"/>
      <c r="BF34" s="42"/>
      <c r="BG34" s="42"/>
      <c r="BK34" s="42"/>
    </row>
    <row r="35" spans="17:63" x14ac:dyDescent="0.15">
      <c r="Q35" s="35"/>
      <c r="R35" s="35"/>
    </row>
    <row r="36" spans="17:63" x14ac:dyDescent="0.15">
      <c r="Q36" s="35"/>
      <c r="R36" s="35"/>
    </row>
    <row r="37" spans="17:63" x14ac:dyDescent="0.15">
      <c r="Q37" s="35"/>
      <c r="R37" s="35"/>
    </row>
    <row r="38" spans="17:63" x14ac:dyDescent="0.15">
      <c r="Q38" s="35"/>
      <c r="R38" s="35"/>
    </row>
    <row r="39" spans="17:63" x14ac:dyDescent="0.15">
      <c r="Q39" s="35"/>
      <c r="R39" s="35"/>
    </row>
    <row r="40" spans="17:63" x14ac:dyDescent="0.15">
      <c r="Q40" s="35"/>
      <c r="R40" s="35"/>
    </row>
    <row r="41" spans="17:63" x14ac:dyDescent="0.15">
      <c r="Q41" s="35"/>
      <c r="R41" s="35"/>
    </row>
    <row r="42" spans="17:63" x14ac:dyDescent="0.15">
      <c r="Q42" s="35"/>
      <c r="R42" s="35"/>
    </row>
    <row r="43" spans="17:63" x14ac:dyDescent="0.15">
      <c r="Q43" s="35"/>
      <c r="R43" s="35"/>
    </row>
    <row r="44" spans="17:63" x14ac:dyDescent="0.15">
      <c r="Q44" s="35"/>
      <c r="R44" s="35"/>
    </row>
    <row r="45" spans="17:63" x14ac:dyDescent="0.15">
      <c r="Q45" s="35"/>
      <c r="R45" s="35"/>
    </row>
    <row r="46" spans="17:63" x14ac:dyDescent="0.15">
      <c r="Q46" s="35"/>
      <c r="R46" s="35"/>
    </row>
    <row r="47" spans="17:63" x14ac:dyDescent="0.15">
      <c r="Q47" s="35"/>
      <c r="R47" s="35"/>
    </row>
    <row r="48" spans="17:63" x14ac:dyDescent="0.15">
      <c r="Q48" s="35"/>
      <c r="R48" s="35"/>
    </row>
    <row r="49" spans="17:37" x14ac:dyDescent="0.15">
      <c r="Q49" s="35"/>
      <c r="R49" s="35"/>
    </row>
    <row r="50" spans="17:37" x14ac:dyDescent="0.15">
      <c r="Q50" s="35"/>
      <c r="R50" s="35"/>
    </row>
    <row r="51" spans="17:37" x14ac:dyDescent="0.15">
      <c r="Q51" s="35"/>
      <c r="R51" s="35"/>
    </row>
    <row r="52" spans="17:37" x14ac:dyDescent="0.15">
      <c r="Q52" s="35"/>
      <c r="R52" s="35"/>
    </row>
    <row r="53" spans="17:37" x14ac:dyDescent="0.15">
      <c r="Q53" s="35"/>
      <c r="R53" s="35"/>
    </row>
    <row r="54" spans="17:37" x14ac:dyDescent="0.15">
      <c r="Q54" s="35"/>
      <c r="R54" s="35"/>
    </row>
    <row r="55" spans="17:37" x14ac:dyDescent="0.15">
      <c r="Q55" s="35"/>
      <c r="R55" s="35"/>
    </row>
    <row r="56" spans="17:37" x14ac:dyDescent="0.15">
      <c r="Q56" s="35"/>
      <c r="R56" s="35"/>
    </row>
    <row r="57" spans="17:37" x14ac:dyDescent="0.15">
      <c r="Q57" s="35"/>
      <c r="R57" s="35"/>
    </row>
    <row r="58" spans="17:37" x14ac:dyDescent="0.15">
      <c r="Q58" s="35"/>
      <c r="R58" s="35"/>
    </row>
    <row r="59" spans="17:37" x14ac:dyDescent="0.15">
      <c r="Q59" s="35"/>
      <c r="R59" s="35"/>
    </row>
    <row r="60" spans="17:37" x14ac:dyDescent="0.15">
      <c r="Q60" s="35"/>
      <c r="R60" s="35"/>
      <c r="AJ60" s="16"/>
      <c r="AK60" s="16"/>
    </row>
    <row r="61" spans="17:37" x14ac:dyDescent="0.15">
      <c r="Q61" s="35"/>
      <c r="R61" s="35"/>
      <c r="AJ61" s="16"/>
      <c r="AK61" s="16"/>
    </row>
    <row r="62" spans="17:37" x14ac:dyDescent="0.15">
      <c r="Q62" s="35"/>
      <c r="R62" s="35"/>
    </row>
    <row r="63" spans="17:37" x14ac:dyDescent="0.15">
      <c r="Q63" s="35"/>
      <c r="R63" s="35"/>
    </row>
    <row r="64" spans="17:37" x14ac:dyDescent="0.15">
      <c r="Q64" s="35"/>
      <c r="R64" s="35"/>
    </row>
    <row r="65" spans="17:18" x14ac:dyDescent="0.15">
      <c r="Q65" s="35"/>
      <c r="R65" s="35"/>
    </row>
    <row r="66" spans="17:18" x14ac:dyDescent="0.15">
      <c r="Q66" s="35"/>
      <c r="R66" s="35"/>
    </row>
    <row r="67" spans="17:18" x14ac:dyDescent="0.15">
      <c r="Q67" s="35"/>
      <c r="R67" s="35"/>
    </row>
    <row r="68" spans="17:18" x14ac:dyDescent="0.15">
      <c r="Q68" s="35"/>
      <c r="R68" s="35"/>
    </row>
    <row r="69" spans="17:18" x14ac:dyDescent="0.15">
      <c r="Q69" s="35"/>
      <c r="R69" s="35"/>
    </row>
    <row r="70" spans="17:18" x14ac:dyDescent="0.15">
      <c r="Q70" s="35"/>
      <c r="R70" s="35"/>
    </row>
    <row r="71" spans="17:18" x14ac:dyDescent="0.15">
      <c r="Q71" s="35"/>
      <c r="R71" s="35"/>
    </row>
    <row r="72" spans="17:18" x14ac:dyDescent="0.15">
      <c r="Q72" s="35"/>
      <c r="R72" s="35"/>
    </row>
    <row r="73" spans="17:18" x14ac:dyDescent="0.15">
      <c r="Q73" s="35"/>
      <c r="R73" s="35"/>
    </row>
    <row r="74" spans="17:18" x14ac:dyDescent="0.15">
      <c r="Q74" s="35"/>
      <c r="R74" s="35"/>
    </row>
    <row r="75" spans="17:18" x14ac:dyDescent="0.15">
      <c r="Q75" s="35"/>
      <c r="R75" s="35"/>
    </row>
    <row r="76" spans="17:18" x14ac:dyDescent="0.15">
      <c r="Q76" s="35"/>
      <c r="R76" s="35"/>
    </row>
    <row r="77" spans="17:18" x14ac:dyDescent="0.15">
      <c r="Q77" s="35"/>
      <c r="R77" s="35"/>
    </row>
    <row r="78" spans="17:18" x14ac:dyDescent="0.15">
      <c r="Q78" s="35"/>
      <c r="R78" s="35"/>
    </row>
    <row r="79" spans="17:18" x14ac:dyDescent="0.15">
      <c r="Q79" s="35"/>
      <c r="R79" s="35"/>
    </row>
    <row r="80" spans="17:18" x14ac:dyDescent="0.15">
      <c r="Q80" s="35"/>
      <c r="R80" s="35"/>
    </row>
    <row r="81" spans="17:18" x14ac:dyDescent="0.15">
      <c r="Q81" s="35"/>
      <c r="R81" s="35"/>
    </row>
    <row r="82" spans="17:18" x14ac:dyDescent="0.15">
      <c r="Q82" s="35"/>
      <c r="R82" s="35"/>
    </row>
    <row r="83" spans="17:18" x14ac:dyDescent="0.15">
      <c r="Q83" s="35"/>
      <c r="R83" s="35"/>
    </row>
    <row r="84" spans="17:18" x14ac:dyDescent="0.15">
      <c r="Q84" s="35"/>
      <c r="R84" s="35"/>
    </row>
    <row r="85" spans="17:18" x14ac:dyDescent="0.15">
      <c r="Q85" s="35"/>
      <c r="R85" s="35"/>
    </row>
    <row r="86" spans="17:18" x14ac:dyDescent="0.15">
      <c r="Q86" s="35"/>
      <c r="R86" s="35"/>
    </row>
    <row r="87" spans="17:18" x14ac:dyDescent="0.15">
      <c r="Q87" s="35"/>
      <c r="R87" s="35"/>
    </row>
    <row r="88" spans="17:18" x14ac:dyDescent="0.15">
      <c r="Q88" s="35"/>
      <c r="R88" s="35"/>
    </row>
    <row r="89" spans="17:18" x14ac:dyDescent="0.15">
      <c r="Q89" s="35"/>
      <c r="R89" s="35"/>
    </row>
    <row r="90" spans="17:18" x14ac:dyDescent="0.15">
      <c r="Q90" s="35"/>
      <c r="R90" s="35"/>
    </row>
    <row r="91" spans="17:18" x14ac:dyDescent="0.15">
      <c r="Q91" s="35"/>
      <c r="R91" s="35"/>
    </row>
    <row r="92" spans="17:18" x14ac:dyDescent="0.15">
      <c r="Q92" s="35"/>
      <c r="R92" s="35"/>
    </row>
    <row r="93" spans="17:18" x14ac:dyDescent="0.15">
      <c r="Q93" s="35"/>
      <c r="R93" s="35"/>
    </row>
    <row r="94" spans="17:18" x14ac:dyDescent="0.15">
      <c r="Q94" s="35"/>
      <c r="R94" s="35"/>
    </row>
    <row r="95" spans="17:18" x14ac:dyDescent="0.15">
      <c r="Q95" s="35"/>
      <c r="R95" s="35"/>
    </row>
    <row r="96" spans="17:18" x14ac:dyDescent="0.15">
      <c r="Q96" s="35"/>
      <c r="R96" s="35"/>
    </row>
    <row r="97" spans="17:18" x14ac:dyDescent="0.15">
      <c r="Q97" s="35"/>
      <c r="R97" s="35"/>
    </row>
    <row r="98" spans="17:18" x14ac:dyDescent="0.15">
      <c r="Q98" s="35"/>
      <c r="R98" s="35"/>
    </row>
    <row r="99" spans="17:18" x14ac:dyDescent="0.15">
      <c r="Q99" s="35"/>
      <c r="R99" s="35"/>
    </row>
    <row r="100" spans="17:18" x14ac:dyDescent="0.15">
      <c r="Q100" s="35"/>
      <c r="R100" s="35"/>
    </row>
    <row r="101" spans="17:18" x14ac:dyDescent="0.15">
      <c r="Q101" s="35"/>
      <c r="R101" s="35"/>
    </row>
    <row r="102" spans="17:18" x14ac:dyDescent="0.15">
      <c r="Q102" s="35"/>
      <c r="R102" s="35"/>
    </row>
    <row r="103" spans="17:18" x14ac:dyDescent="0.15">
      <c r="Q103" s="35"/>
      <c r="R103" s="35"/>
    </row>
    <row r="104" spans="17:18" x14ac:dyDescent="0.15">
      <c r="Q104" s="35"/>
      <c r="R104" s="35"/>
    </row>
    <row r="105" spans="17:18" x14ac:dyDescent="0.15">
      <c r="Q105" s="35"/>
      <c r="R105" s="35"/>
    </row>
    <row r="106" spans="17:18" x14ac:dyDescent="0.15">
      <c r="Q106" s="35"/>
      <c r="R106" s="35"/>
    </row>
    <row r="107" spans="17:18" x14ac:dyDescent="0.15">
      <c r="Q107" s="35"/>
      <c r="R107" s="35"/>
    </row>
    <row r="108" spans="17:18" x14ac:dyDescent="0.15">
      <c r="Q108" s="35"/>
      <c r="R108" s="35"/>
    </row>
    <row r="109" spans="17:18" x14ac:dyDescent="0.15">
      <c r="Q109" s="35"/>
      <c r="R109" s="35"/>
    </row>
    <row r="110" spans="17:18" x14ac:dyDescent="0.15">
      <c r="Q110" s="35"/>
      <c r="R110" s="35"/>
    </row>
    <row r="111" spans="17:18" x14ac:dyDescent="0.15">
      <c r="Q111" s="35"/>
      <c r="R111" s="35"/>
    </row>
    <row r="112" spans="17:18" x14ac:dyDescent="0.15">
      <c r="Q112" s="35"/>
      <c r="R112" s="35"/>
    </row>
    <row r="113" spans="17:18" x14ac:dyDescent="0.15">
      <c r="Q113" s="35"/>
      <c r="R113" s="35"/>
    </row>
    <row r="114" spans="17:18" x14ac:dyDescent="0.15">
      <c r="Q114" s="35"/>
      <c r="R114" s="35"/>
    </row>
    <row r="115" spans="17:18" x14ac:dyDescent="0.15">
      <c r="Q115" s="35"/>
      <c r="R115" s="35"/>
    </row>
    <row r="116" spans="17:18" x14ac:dyDescent="0.15">
      <c r="Q116" s="35"/>
      <c r="R116" s="35"/>
    </row>
    <row r="117" spans="17:18" x14ac:dyDescent="0.15">
      <c r="Q117" s="35"/>
      <c r="R117" s="35"/>
    </row>
    <row r="118" spans="17:18" x14ac:dyDescent="0.15">
      <c r="Q118" s="35"/>
      <c r="R118" s="35"/>
    </row>
    <row r="119" spans="17:18" x14ac:dyDescent="0.15">
      <c r="Q119" s="35"/>
      <c r="R119" s="35"/>
    </row>
    <row r="120" spans="17:18" x14ac:dyDescent="0.15">
      <c r="Q120" s="35"/>
      <c r="R120" s="35"/>
    </row>
    <row r="121" spans="17:18" x14ac:dyDescent="0.15">
      <c r="Q121" s="35"/>
      <c r="R121" s="35"/>
    </row>
    <row r="122" spans="17:18" x14ac:dyDescent="0.15">
      <c r="Q122" s="35"/>
      <c r="R122" s="35"/>
    </row>
    <row r="123" spans="17:18" x14ac:dyDescent="0.15">
      <c r="Q123" s="35"/>
      <c r="R123" s="35"/>
    </row>
    <row r="124" spans="17:18" x14ac:dyDescent="0.15">
      <c r="Q124" s="35"/>
      <c r="R124" s="35"/>
    </row>
    <row r="125" spans="17:18" x14ac:dyDescent="0.15">
      <c r="Q125" s="35"/>
      <c r="R125" s="35"/>
    </row>
    <row r="126" spans="17:18" x14ac:dyDescent="0.15">
      <c r="Q126" s="35"/>
      <c r="R126" s="35"/>
    </row>
    <row r="127" spans="17:18" x14ac:dyDescent="0.15">
      <c r="Q127" s="35"/>
      <c r="R127" s="35"/>
    </row>
    <row r="128" spans="17:18" x14ac:dyDescent="0.15">
      <c r="Q128" s="35"/>
      <c r="R128" s="35"/>
    </row>
    <row r="129" spans="17:18" x14ac:dyDescent="0.15">
      <c r="Q129" s="35"/>
      <c r="R129" s="35"/>
    </row>
    <row r="130" spans="17:18" x14ac:dyDescent="0.15">
      <c r="Q130" s="35"/>
      <c r="R130" s="35"/>
    </row>
    <row r="131" spans="17:18" x14ac:dyDescent="0.15">
      <c r="Q131" s="35"/>
      <c r="R131" s="35"/>
    </row>
    <row r="132" spans="17:18" x14ac:dyDescent="0.15">
      <c r="Q132" s="35"/>
      <c r="R132" s="35"/>
    </row>
    <row r="133" spans="17:18" x14ac:dyDescent="0.15">
      <c r="Q133" s="35"/>
      <c r="R133" s="35"/>
    </row>
    <row r="134" spans="17:18" x14ac:dyDescent="0.15">
      <c r="Q134" s="35"/>
      <c r="R134" s="35"/>
    </row>
    <row r="135" spans="17:18" x14ac:dyDescent="0.15">
      <c r="Q135" s="35"/>
      <c r="R135" s="35"/>
    </row>
    <row r="136" spans="17:18" x14ac:dyDescent="0.15">
      <c r="Q136" s="35"/>
      <c r="R136" s="35"/>
    </row>
    <row r="137" spans="17:18" x14ac:dyDescent="0.15">
      <c r="Q137" s="35"/>
      <c r="R137" s="35"/>
    </row>
    <row r="138" spans="17:18" x14ac:dyDescent="0.15">
      <c r="Q138" s="35"/>
      <c r="R138" s="35"/>
    </row>
    <row r="139" spans="17:18" x14ac:dyDescent="0.15">
      <c r="Q139" s="35"/>
      <c r="R139" s="35"/>
    </row>
    <row r="140" spans="17:18" x14ac:dyDescent="0.15">
      <c r="Q140" s="35"/>
      <c r="R140" s="35"/>
    </row>
    <row r="141" spans="17:18" x14ac:dyDescent="0.15">
      <c r="Q141" s="35"/>
      <c r="R141" s="35"/>
    </row>
    <row r="142" spans="17:18" x14ac:dyDescent="0.15">
      <c r="Q142" s="35"/>
      <c r="R142" s="35"/>
    </row>
    <row r="143" spans="17:18" x14ac:dyDescent="0.15">
      <c r="Q143" s="35"/>
      <c r="R143" s="35"/>
    </row>
    <row r="144" spans="17:18" x14ac:dyDescent="0.15">
      <c r="Q144" s="35"/>
      <c r="R144" s="35"/>
    </row>
    <row r="145" spans="17:18" x14ac:dyDescent="0.15">
      <c r="Q145" s="35"/>
      <c r="R145" s="35"/>
    </row>
    <row r="146" spans="17:18" x14ac:dyDescent="0.15">
      <c r="Q146" s="35"/>
      <c r="R146" s="35"/>
    </row>
    <row r="147" spans="17:18" x14ac:dyDescent="0.15">
      <c r="Q147" s="35"/>
      <c r="R147" s="35"/>
    </row>
    <row r="148" spans="17:18" x14ac:dyDescent="0.15">
      <c r="Q148" s="35"/>
      <c r="R148" s="35"/>
    </row>
    <row r="149" spans="17:18" x14ac:dyDescent="0.15">
      <c r="Q149" s="35"/>
      <c r="R149" s="35"/>
    </row>
    <row r="150" spans="17:18" x14ac:dyDescent="0.15">
      <c r="Q150" s="35"/>
      <c r="R150" s="35"/>
    </row>
    <row r="151" spans="17:18" x14ac:dyDescent="0.15">
      <c r="Q151" s="35"/>
      <c r="R151" s="35"/>
    </row>
    <row r="152" spans="17:18" x14ac:dyDescent="0.15">
      <c r="Q152" s="35"/>
      <c r="R152" s="35"/>
    </row>
    <row r="153" spans="17:18" x14ac:dyDescent="0.15">
      <c r="Q153" s="35"/>
      <c r="R153" s="35"/>
    </row>
    <row r="154" spans="17:18" x14ac:dyDescent="0.15">
      <c r="Q154" s="35"/>
      <c r="R154" s="35"/>
    </row>
    <row r="155" spans="17:18" x14ac:dyDescent="0.15">
      <c r="Q155" s="35"/>
      <c r="R155" s="35"/>
    </row>
    <row r="156" spans="17:18" x14ac:dyDescent="0.15">
      <c r="Q156" s="35"/>
      <c r="R156" s="35"/>
    </row>
    <row r="157" spans="17:18" x14ac:dyDescent="0.15">
      <c r="Q157" s="35"/>
      <c r="R157" s="35"/>
    </row>
    <row r="158" spans="17:18" x14ac:dyDescent="0.15">
      <c r="Q158" s="35"/>
      <c r="R158" s="35"/>
    </row>
    <row r="159" spans="17:18" x14ac:dyDescent="0.15">
      <c r="Q159" s="35"/>
      <c r="R159" s="35"/>
    </row>
    <row r="160" spans="17:18" x14ac:dyDescent="0.15">
      <c r="Q160" s="35"/>
      <c r="R160" s="35"/>
    </row>
    <row r="161" spans="17:18" x14ac:dyDescent="0.15">
      <c r="Q161" s="35"/>
      <c r="R161" s="35"/>
    </row>
    <row r="162" spans="17:18" x14ac:dyDescent="0.15">
      <c r="Q162" s="35"/>
      <c r="R162" s="35"/>
    </row>
    <row r="163" spans="17:18" x14ac:dyDescent="0.15">
      <c r="Q163" s="35"/>
      <c r="R163" s="35"/>
    </row>
    <row r="164" spans="17:18" x14ac:dyDescent="0.15">
      <c r="Q164" s="35"/>
      <c r="R164" s="35"/>
    </row>
    <row r="165" spans="17:18" x14ac:dyDescent="0.15">
      <c r="Q165" s="35"/>
      <c r="R165" s="35"/>
    </row>
    <row r="166" spans="17:18" x14ac:dyDescent="0.15">
      <c r="Q166" s="35"/>
      <c r="R166" s="35"/>
    </row>
    <row r="167" spans="17:18" x14ac:dyDescent="0.15">
      <c r="Q167" s="35"/>
      <c r="R167" s="35"/>
    </row>
    <row r="168" spans="17:18" x14ac:dyDescent="0.15">
      <c r="Q168" s="35"/>
      <c r="R168" s="35"/>
    </row>
    <row r="169" spans="17:18" x14ac:dyDescent="0.15">
      <c r="Q169" s="35"/>
      <c r="R169" s="35"/>
    </row>
    <row r="170" spans="17:18" x14ac:dyDescent="0.15">
      <c r="Q170" s="35"/>
      <c r="R170" s="35"/>
    </row>
    <row r="171" spans="17:18" x14ac:dyDescent="0.15">
      <c r="Q171" s="35"/>
      <c r="R171" s="35"/>
    </row>
    <row r="172" spans="17:18" x14ac:dyDescent="0.15">
      <c r="Q172" s="35"/>
      <c r="R172" s="35"/>
    </row>
    <row r="173" spans="17:18" x14ac:dyDescent="0.15">
      <c r="Q173" s="35"/>
      <c r="R173" s="35"/>
    </row>
    <row r="174" spans="17:18" x14ac:dyDescent="0.15">
      <c r="Q174" s="35"/>
      <c r="R174" s="35"/>
    </row>
    <row r="175" spans="17:18" x14ac:dyDescent="0.15">
      <c r="Q175" s="35"/>
      <c r="R175" s="35"/>
    </row>
    <row r="176" spans="17:18" x14ac:dyDescent="0.15">
      <c r="Q176" s="35"/>
      <c r="R176" s="35"/>
    </row>
    <row r="177" spans="17:18" x14ac:dyDescent="0.15">
      <c r="Q177" s="35"/>
      <c r="R177" s="35"/>
    </row>
    <row r="178" spans="17:18" x14ac:dyDescent="0.15">
      <c r="Q178" s="35"/>
      <c r="R178" s="35"/>
    </row>
    <row r="179" spans="17:18" x14ac:dyDescent="0.15">
      <c r="Q179" s="35"/>
      <c r="R179" s="35"/>
    </row>
    <row r="180" spans="17:18" x14ac:dyDescent="0.15">
      <c r="Q180" s="35"/>
      <c r="R180" s="35"/>
    </row>
    <row r="181" spans="17:18" x14ac:dyDescent="0.15">
      <c r="Q181" s="35"/>
      <c r="R181" s="35"/>
    </row>
    <row r="182" spans="17:18" x14ac:dyDescent="0.15">
      <c r="Q182" s="35"/>
      <c r="R182" s="35"/>
    </row>
    <row r="183" spans="17:18" x14ac:dyDescent="0.15">
      <c r="Q183" s="35"/>
      <c r="R183" s="35"/>
    </row>
    <row r="184" spans="17:18" x14ac:dyDescent="0.15">
      <c r="Q184" s="35"/>
      <c r="R184" s="35"/>
    </row>
    <row r="185" spans="17:18" x14ac:dyDescent="0.15">
      <c r="Q185" s="35"/>
      <c r="R185" s="35"/>
    </row>
    <row r="186" spans="17:18" x14ac:dyDescent="0.15">
      <c r="Q186" s="35"/>
      <c r="R186" s="35"/>
    </row>
    <row r="187" spans="17:18" x14ac:dyDescent="0.15">
      <c r="Q187" s="35"/>
      <c r="R187" s="35"/>
    </row>
    <row r="188" spans="17:18" x14ac:dyDescent="0.15">
      <c r="Q188" s="35"/>
      <c r="R188" s="35"/>
    </row>
    <row r="189" spans="17:18" x14ac:dyDescent="0.15">
      <c r="Q189" s="35"/>
      <c r="R189" s="35"/>
    </row>
    <row r="190" spans="17:18" x14ac:dyDescent="0.15">
      <c r="Q190" s="35"/>
      <c r="R190" s="35"/>
    </row>
    <row r="191" spans="17:18" x14ac:dyDescent="0.15">
      <c r="Q191" s="35"/>
      <c r="R191" s="35"/>
    </row>
    <row r="192" spans="17:18" x14ac:dyDescent="0.15">
      <c r="Q192" s="35"/>
      <c r="R192" s="35"/>
    </row>
    <row r="193" spans="17:18" x14ac:dyDescent="0.15">
      <c r="Q193" s="35"/>
      <c r="R193" s="35"/>
    </row>
    <row r="194" spans="17:18" x14ac:dyDescent="0.15">
      <c r="Q194" s="35"/>
      <c r="R194" s="35"/>
    </row>
    <row r="195" spans="17:18" x14ac:dyDescent="0.15">
      <c r="Q195" s="35"/>
      <c r="R195" s="35"/>
    </row>
    <row r="196" spans="17:18" x14ac:dyDescent="0.15">
      <c r="Q196" s="35"/>
      <c r="R196" s="35"/>
    </row>
    <row r="197" spans="17:18" x14ac:dyDescent="0.15">
      <c r="Q197" s="35"/>
      <c r="R197" s="35"/>
    </row>
    <row r="198" spans="17:18" x14ac:dyDescent="0.15">
      <c r="Q198" s="35"/>
      <c r="R198" s="35"/>
    </row>
    <row r="199" spans="17:18" x14ac:dyDescent="0.15">
      <c r="Q199" s="35"/>
      <c r="R199" s="35"/>
    </row>
    <row r="200" spans="17:18" x14ac:dyDescent="0.15">
      <c r="Q200" s="35"/>
      <c r="R200" s="35"/>
    </row>
    <row r="201" spans="17:18" x14ac:dyDescent="0.15">
      <c r="Q201" s="35"/>
      <c r="R201" s="35"/>
    </row>
    <row r="202" spans="17:18" x14ac:dyDescent="0.15">
      <c r="Q202" s="35"/>
      <c r="R202" s="35"/>
    </row>
    <row r="203" spans="17:18" x14ac:dyDescent="0.15">
      <c r="Q203" s="35"/>
      <c r="R203" s="35"/>
    </row>
    <row r="204" spans="17:18" x14ac:dyDescent="0.15">
      <c r="Q204" s="35"/>
      <c r="R204" s="35"/>
    </row>
    <row r="205" spans="17:18" x14ac:dyDescent="0.15">
      <c r="Q205" s="35"/>
      <c r="R205" s="35"/>
    </row>
    <row r="206" spans="17:18" x14ac:dyDescent="0.15">
      <c r="Q206" s="35"/>
      <c r="R206" s="35"/>
    </row>
    <row r="207" spans="17:18" x14ac:dyDescent="0.15">
      <c r="Q207" s="35"/>
      <c r="R207" s="35"/>
    </row>
    <row r="208" spans="17:18" x14ac:dyDescent="0.15">
      <c r="Q208" s="35"/>
      <c r="R208" s="35"/>
    </row>
    <row r="209" spans="17:18" x14ac:dyDescent="0.15">
      <c r="Q209" s="35"/>
      <c r="R209" s="35"/>
    </row>
    <row r="210" spans="17:18" x14ac:dyDescent="0.15">
      <c r="Q210" s="35"/>
      <c r="R210" s="35"/>
    </row>
    <row r="211" spans="17:18" x14ac:dyDescent="0.15">
      <c r="Q211" s="35"/>
      <c r="R211" s="35"/>
    </row>
    <row r="212" spans="17:18" x14ac:dyDescent="0.15">
      <c r="Q212" s="35"/>
      <c r="R212" s="35"/>
    </row>
    <row r="213" spans="17:18" x14ac:dyDescent="0.15">
      <c r="Q213" s="35"/>
      <c r="R213" s="35"/>
    </row>
    <row r="214" spans="17:18" x14ac:dyDescent="0.15">
      <c r="Q214" s="35"/>
      <c r="R214" s="35"/>
    </row>
    <row r="215" spans="17:18" x14ac:dyDescent="0.15">
      <c r="Q215" s="35"/>
      <c r="R215" s="35"/>
    </row>
    <row r="216" spans="17:18" x14ac:dyDescent="0.15">
      <c r="Q216" s="35"/>
      <c r="R216" s="35"/>
    </row>
    <row r="217" spans="17:18" x14ac:dyDescent="0.15">
      <c r="Q217" s="35"/>
      <c r="R217" s="35"/>
    </row>
    <row r="218" spans="17:18" x14ac:dyDescent="0.15">
      <c r="Q218" s="35"/>
      <c r="R218" s="35"/>
    </row>
    <row r="219" spans="17:18" x14ac:dyDescent="0.15">
      <c r="Q219" s="35"/>
      <c r="R219" s="35"/>
    </row>
    <row r="220" spans="17:18" x14ac:dyDescent="0.15">
      <c r="Q220" s="35"/>
      <c r="R220" s="35"/>
    </row>
    <row r="221" spans="17:18" x14ac:dyDescent="0.15">
      <c r="Q221" s="35"/>
      <c r="R221" s="35"/>
    </row>
    <row r="222" spans="17:18" x14ac:dyDescent="0.15">
      <c r="Q222" s="35"/>
      <c r="R222" s="35"/>
    </row>
    <row r="223" spans="17:18" x14ac:dyDescent="0.15">
      <c r="Q223" s="35"/>
      <c r="R223" s="35"/>
    </row>
    <row r="224" spans="17:18" x14ac:dyDescent="0.15">
      <c r="Q224" s="35"/>
      <c r="R224" s="35"/>
    </row>
    <row r="225" spans="17:18" x14ac:dyDescent="0.15">
      <c r="Q225" s="35"/>
      <c r="R225" s="35"/>
    </row>
    <row r="226" spans="17:18" x14ac:dyDescent="0.15">
      <c r="Q226" s="35"/>
      <c r="R226" s="35"/>
    </row>
    <row r="227" spans="17:18" x14ac:dyDescent="0.15">
      <c r="Q227" s="35"/>
      <c r="R227" s="35"/>
    </row>
    <row r="228" spans="17:18" x14ac:dyDescent="0.15">
      <c r="Q228" s="35"/>
      <c r="R228" s="35"/>
    </row>
    <row r="229" spans="17:18" x14ac:dyDescent="0.15">
      <c r="Q229" s="35"/>
      <c r="R229" s="35"/>
    </row>
    <row r="230" spans="17:18" x14ac:dyDescent="0.15">
      <c r="Q230" s="35"/>
      <c r="R230" s="35"/>
    </row>
    <row r="231" spans="17:18" x14ac:dyDescent="0.15">
      <c r="Q231" s="35"/>
      <c r="R231" s="35"/>
    </row>
    <row r="232" spans="17:18" x14ac:dyDescent="0.15">
      <c r="Q232" s="35"/>
      <c r="R232" s="35"/>
    </row>
    <row r="233" spans="17:18" x14ac:dyDescent="0.15">
      <c r="Q233" s="35"/>
      <c r="R233" s="35"/>
    </row>
    <row r="234" spans="17:18" x14ac:dyDescent="0.15">
      <c r="Q234" s="35"/>
      <c r="R234" s="35"/>
    </row>
    <row r="235" spans="17:18" x14ac:dyDescent="0.15">
      <c r="Q235" s="35"/>
      <c r="R235" s="35"/>
    </row>
    <row r="236" spans="17:18" x14ac:dyDescent="0.15">
      <c r="Q236" s="35"/>
      <c r="R236" s="35"/>
    </row>
    <row r="237" spans="17:18" x14ac:dyDescent="0.15">
      <c r="Q237" s="35"/>
      <c r="R237" s="35"/>
    </row>
    <row r="238" spans="17:18" x14ac:dyDescent="0.15">
      <c r="Q238" s="35"/>
      <c r="R238" s="35"/>
    </row>
    <row r="239" spans="17:18" x14ac:dyDescent="0.15">
      <c r="Q239" s="35"/>
      <c r="R239" s="35"/>
    </row>
    <row r="240" spans="17:18" x14ac:dyDescent="0.15">
      <c r="Q240" s="35"/>
      <c r="R240" s="35"/>
    </row>
    <row r="241" spans="17:18" x14ac:dyDescent="0.15">
      <c r="Q241" s="35"/>
      <c r="R241" s="35"/>
    </row>
    <row r="242" spans="17:18" x14ac:dyDescent="0.15">
      <c r="Q242" s="35"/>
      <c r="R242" s="35"/>
    </row>
    <row r="243" spans="17:18" x14ac:dyDescent="0.15">
      <c r="Q243" s="35"/>
      <c r="R243" s="35"/>
    </row>
    <row r="244" spans="17:18" x14ac:dyDescent="0.15">
      <c r="Q244" s="35"/>
      <c r="R244" s="35"/>
    </row>
    <row r="245" spans="17:18" x14ac:dyDescent="0.15">
      <c r="Q245" s="35"/>
      <c r="R245" s="35"/>
    </row>
    <row r="246" spans="17:18" x14ac:dyDescent="0.15">
      <c r="Q246" s="35"/>
      <c r="R246" s="35"/>
    </row>
    <row r="247" spans="17:18" x14ac:dyDescent="0.15">
      <c r="Q247" s="35"/>
      <c r="R247" s="35"/>
    </row>
    <row r="248" spans="17:18" x14ac:dyDescent="0.15">
      <c r="Q248" s="35"/>
      <c r="R248" s="35"/>
    </row>
    <row r="249" spans="17:18" x14ac:dyDescent="0.15">
      <c r="Q249" s="35"/>
      <c r="R249" s="35"/>
    </row>
    <row r="250" spans="17:18" x14ac:dyDescent="0.15">
      <c r="Q250" s="35"/>
      <c r="R250" s="35"/>
    </row>
    <row r="251" spans="17:18" x14ac:dyDescent="0.15">
      <c r="Q251" s="35"/>
      <c r="R251" s="35"/>
    </row>
    <row r="252" spans="17:18" x14ac:dyDescent="0.15">
      <c r="Q252" s="35"/>
      <c r="R252" s="35"/>
    </row>
    <row r="253" spans="17:18" x14ac:dyDescent="0.15">
      <c r="Q253" s="35"/>
      <c r="R253" s="35"/>
    </row>
    <row r="254" spans="17:18" x14ac:dyDescent="0.15">
      <c r="Q254" s="35"/>
      <c r="R254" s="35"/>
    </row>
    <row r="255" spans="17:18" x14ac:dyDescent="0.15">
      <c r="Q255" s="35"/>
      <c r="R255" s="35"/>
    </row>
    <row r="256" spans="17:18" x14ac:dyDescent="0.15">
      <c r="Q256" s="35"/>
      <c r="R256" s="35"/>
    </row>
    <row r="257" spans="17:18" x14ac:dyDescent="0.15">
      <c r="Q257" s="35"/>
      <c r="R257" s="35"/>
    </row>
    <row r="258" spans="17:18" x14ac:dyDescent="0.15">
      <c r="Q258" s="35"/>
      <c r="R258" s="35"/>
    </row>
    <row r="259" spans="17:18" x14ac:dyDescent="0.15">
      <c r="Q259" s="35"/>
      <c r="R259" s="35"/>
    </row>
    <row r="260" spans="17:18" x14ac:dyDescent="0.15">
      <c r="Q260" s="35"/>
      <c r="R260" s="35"/>
    </row>
    <row r="261" spans="17:18" x14ac:dyDescent="0.15">
      <c r="Q261" s="35"/>
      <c r="R261" s="35"/>
    </row>
    <row r="262" spans="17:18" x14ac:dyDescent="0.15">
      <c r="Q262" s="35"/>
      <c r="R262" s="35"/>
    </row>
    <row r="263" spans="17:18" x14ac:dyDescent="0.15">
      <c r="Q263" s="35"/>
      <c r="R263" s="35"/>
    </row>
    <row r="264" spans="17:18" x14ac:dyDescent="0.15">
      <c r="Q264" s="35"/>
      <c r="R264" s="35"/>
    </row>
    <row r="265" spans="17:18" x14ac:dyDescent="0.15">
      <c r="Q265" s="35"/>
      <c r="R265" s="35"/>
    </row>
    <row r="266" spans="17:18" x14ac:dyDescent="0.15">
      <c r="Q266" s="35"/>
      <c r="R266" s="35"/>
    </row>
    <row r="267" spans="17:18" x14ac:dyDescent="0.15">
      <c r="Q267" s="35"/>
      <c r="R267" s="35"/>
    </row>
    <row r="268" spans="17:18" x14ac:dyDescent="0.15">
      <c r="Q268" s="35"/>
      <c r="R268" s="35"/>
    </row>
    <row r="269" spans="17:18" x14ac:dyDescent="0.15">
      <c r="Q269" s="35"/>
      <c r="R269" s="35"/>
    </row>
    <row r="270" spans="17:18" x14ac:dyDescent="0.15">
      <c r="Q270" s="35"/>
      <c r="R270" s="35"/>
    </row>
    <row r="271" spans="17:18" x14ac:dyDescent="0.15">
      <c r="Q271" s="35"/>
      <c r="R271" s="35"/>
    </row>
    <row r="272" spans="17:18" x14ac:dyDescent="0.15">
      <c r="Q272" s="35"/>
      <c r="R272" s="35"/>
    </row>
    <row r="273" spans="17:18" x14ac:dyDescent="0.15">
      <c r="Q273" s="35"/>
      <c r="R273" s="35"/>
    </row>
    <row r="274" spans="17:18" x14ac:dyDescent="0.15">
      <c r="Q274" s="35"/>
      <c r="R274" s="35"/>
    </row>
    <row r="275" spans="17:18" x14ac:dyDescent="0.15">
      <c r="Q275" s="35"/>
      <c r="R275" s="35"/>
    </row>
    <row r="276" spans="17:18" x14ac:dyDescent="0.15">
      <c r="Q276" s="35"/>
      <c r="R276" s="35"/>
    </row>
    <row r="277" spans="17:18" x14ac:dyDescent="0.15">
      <c r="Q277" s="35"/>
      <c r="R277" s="35"/>
    </row>
    <row r="278" spans="17:18" x14ac:dyDescent="0.15">
      <c r="Q278" s="35"/>
      <c r="R278" s="35"/>
    </row>
    <row r="279" spans="17:18" x14ac:dyDescent="0.15">
      <c r="Q279" s="35"/>
      <c r="R279" s="35"/>
    </row>
    <row r="280" spans="17:18" x14ac:dyDescent="0.15">
      <c r="Q280" s="35"/>
      <c r="R280" s="35"/>
    </row>
    <row r="281" spans="17:18" x14ac:dyDescent="0.15">
      <c r="Q281" s="35"/>
      <c r="R281" s="35"/>
    </row>
    <row r="282" spans="17:18" x14ac:dyDescent="0.15">
      <c r="Q282" s="35"/>
      <c r="R282" s="35"/>
    </row>
    <row r="283" spans="17:18" x14ac:dyDescent="0.15">
      <c r="Q283" s="35"/>
      <c r="R283" s="35"/>
    </row>
    <row r="284" spans="17:18" x14ac:dyDescent="0.15">
      <c r="Q284" s="35"/>
      <c r="R284" s="35"/>
    </row>
    <row r="285" spans="17:18" x14ac:dyDescent="0.15">
      <c r="Q285" s="35"/>
      <c r="R285" s="35"/>
    </row>
    <row r="286" spans="17:18" x14ac:dyDescent="0.15">
      <c r="Q286" s="35"/>
      <c r="R286" s="35"/>
    </row>
    <row r="287" spans="17:18" x14ac:dyDescent="0.15">
      <c r="Q287" s="35"/>
      <c r="R287" s="35"/>
    </row>
    <row r="288" spans="17:18" x14ac:dyDescent="0.15">
      <c r="Q288" s="35"/>
      <c r="R288" s="35"/>
    </row>
    <row r="289" spans="17:18" x14ac:dyDescent="0.15">
      <c r="Q289" s="35"/>
      <c r="R289" s="35"/>
    </row>
    <row r="290" spans="17:18" x14ac:dyDescent="0.15">
      <c r="Q290" s="35"/>
      <c r="R290" s="35"/>
    </row>
    <row r="291" spans="17:18" x14ac:dyDescent="0.15">
      <c r="Q291" s="35"/>
      <c r="R291" s="35"/>
    </row>
    <row r="292" spans="17:18" x14ac:dyDescent="0.15">
      <c r="Q292" s="35"/>
      <c r="R292" s="35"/>
    </row>
    <row r="293" spans="17:18" x14ac:dyDescent="0.15">
      <c r="Q293" s="35"/>
      <c r="R293" s="35"/>
    </row>
    <row r="294" spans="17:18" x14ac:dyDescent="0.15">
      <c r="Q294" s="35"/>
      <c r="R294" s="35"/>
    </row>
    <row r="295" spans="17:18" x14ac:dyDescent="0.15">
      <c r="Q295" s="35"/>
      <c r="R295" s="35"/>
    </row>
    <row r="296" spans="17:18" x14ac:dyDescent="0.15">
      <c r="Q296" s="35"/>
      <c r="R296" s="35"/>
    </row>
    <row r="297" spans="17:18" x14ac:dyDescent="0.15">
      <c r="Q297" s="35"/>
      <c r="R297" s="35"/>
    </row>
    <row r="298" spans="17:18" x14ac:dyDescent="0.15">
      <c r="Q298" s="35"/>
      <c r="R298" s="35"/>
    </row>
    <row r="299" spans="17:18" x14ac:dyDescent="0.15">
      <c r="Q299" s="35"/>
      <c r="R299" s="35"/>
    </row>
    <row r="300" spans="17:18" x14ac:dyDescent="0.15">
      <c r="Q300" s="35"/>
      <c r="R300" s="35"/>
    </row>
    <row r="301" spans="17:18" x14ac:dyDescent="0.15">
      <c r="Q301" s="35"/>
      <c r="R301" s="35"/>
    </row>
    <row r="302" spans="17:18" x14ac:dyDescent="0.15">
      <c r="Q302" s="35"/>
      <c r="R302" s="35"/>
    </row>
    <row r="303" spans="17:18" x14ac:dyDescent="0.15">
      <c r="Q303" s="35"/>
      <c r="R303" s="35"/>
    </row>
    <row r="304" spans="17:18" x14ac:dyDescent="0.15">
      <c r="Q304" s="35"/>
      <c r="R304" s="35"/>
    </row>
    <row r="305" spans="17:18" x14ac:dyDescent="0.15">
      <c r="Q305" s="35"/>
      <c r="R305" s="35"/>
    </row>
    <row r="306" spans="17:18" x14ac:dyDescent="0.15">
      <c r="Q306" s="35"/>
      <c r="R306" s="35"/>
    </row>
    <row r="307" spans="17:18" x14ac:dyDescent="0.15">
      <c r="Q307" s="35"/>
      <c r="R307" s="35"/>
    </row>
    <row r="308" spans="17:18" x14ac:dyDescent="0.15">
      <c r="Q308" s="35"/>
      <c r="R308" s="35"/>
    </row>
    <row r="309" spans="17:18" x14ac:dyDescent="0.15">
      <c r="Q309" s="35"/>
      <c r="R309" s="35"/>
    </row>
    <row r="310" spans="17:18" x14ac:dyDescent="0.15">
      <c r="Q310" s="35"/>
      <c r="R310" s="35"/>
    </row>
    <row r="311" spans="17:18" x14ac:dyDescent="0.15">
      <c r="Q311" s="35"/>
      <c r="R311" s="35"/>
    </row>
    <row r="312" spans="17:18" x14ac:dyDescent="0.15">
      <c r="Q312" s="35"/>
      <c r="R312" s="35"/>
    </row>
    <row r="313" spans="17:18" x14ac:dyDescent="0.15">
      <c r="Q313" s="35"/>
      <c r="R313" s="35"/>
    </row>
    <row r="314" spans="17:18" x14ac:dyDescent="0.15">
      <c r="Q314" s="35"/>
      <c r="R314" s="35"/>
    </row>
    <row r="315" spans="17:18" x14ac:dyDescent="0.15">
      <c r="Q315" s="35"/>
      <c r="R315" s="35"/>
    </row>
    <row r="316" spans="17:18" x14ac:dyDescent="0.15">
      <c r="Q316" s="35"/>
      <c r="R316" s="35"/>
    </row>
    <row r="317" spans="17:18" x14ac:dyDescent="0.15">
      <c r="Q317" s="35"/>
      <c r="R317" s="35"/>
    </row>
    <row r="318" spans="17:18" x14ac:dyDescent="0.15">
      <c r="Q318" s="35"/>
      <c r="R318" s="35"/>
    </row>
    <row r="319" spans="17:18" x14ac:dyDescent="0.15">
      <c r="Q319" s="35"/>
      <c r="R319" s="35"/>
    </row>
    <row r="320" spans="17:18" x14ac:dyDescent="0.15">
      <c r="Q320" s="35"/>
      <c r="R320" s="35"/>
    </row>
    <row r="321" spans="17:18" x14ac:dyDescent="0.15">
      <c r="Q321" s="35"/>
      <c r="R321" s="35"/>
    </row>
    <row r="322" spans="17:18" x14ac:dyDescent="0.15">
      <c r="Q322" s="35"/>
      <c r="R322" s="35"/>
    </row>
    <row r="323" spans="17:18" x14ac:dyDescent="0.15">
      <c r="Q323" s="35"/>
      <c r="R323" s="35"/>
    </row>
    <row r="324" spans="17:18" x14ac:dyDescent="0.15">
      <c r="Q324" s="35"/>
      <c r="R324" s="35"/>
    </row>
    <row r="325" spans="17:18" x14ac:dyDescent="0.15">
      <c r="Q325" s="35"/>
      <c r="R325" s="35"/>
    </row>
    <row r="326" spans="17:18" x14ac:dyDescent="0.15">
      <c r="Q326" s="35"/>
      <c r="R326" s="35"/>
    </row>
    <row r="327" spans="17:18" x14ac:dyDescent="0.15">
      <c r="Q327" s="35"/>
      <c r="R327" s="35"/>
    </row>
    <row r="328" spans="17:18" x14ac:dyDescent="0.15">
      <c r="Q328" s="35"/>
      <c r="R328" s="35"/>
    </row>
    <row r="329" spans="17:18" x14ac:dyDescent="0.15">
      <c r="Q329" s="35"/>
      <c r="R329" s="35"/>
    </row>
    <row r="330" spans="17:18" x14ac:dyDescent="0.15">
      <c r="Q330" s="35"/>
      <c r="R330" s="35"/>
    </row>
    <row r="331" spans="17:18" x14ac:dyDescent="0.15">
      <c r="Q331" s="35"/>
      <c r="R331" s="35"/>
    </row>
    <row r="332" spans="17:18" x14ac:dyDescent="0.15">
      <c r="Q332" s="35"/>
      <c r="R332" s="35"/>
    </row>
    <row r="333" spans="17:18" x14ac:dyDescent="0.15">
      <c r="Q333" s="35"/>
      <c r="R333" s="35"/>
    </row>
    <row r="334" spans="17:18" x14ac:dyDescent="0.15">
      <c r="Q334" s="35"/>
      <c r="R334" s="35"/>
    </row>
    <row r="335" spans="17:18" x14ac:dyDescent="0.15">
      <c r="Q335" s="35"/>
      <c r="R335" s="35"/>
    </row>
    <row r="336" spans="17:18" x14ac:dyDescent="0.15">
      <c r="Q336" s="35"/>
      <c r="R336" s="35"/>
    </row>
    <row r="337" spans="17:18" x14ac:dyDescent="0.15">
      <c r="Q337" s="35"/>
      <c r="R337" s="35"/>
    </row>
    <row r="338" spans="17:18" x14ac:dyDescent="0.15">
      <c r="Q338" s="35"/>
      <c r="R338" s="35"/>
    </row>
    <row r="339" spans="17:18" x14ac:dyDescent="0.15">
      <c r="Q339" s="35"/>
      <c r="R339" s="35"/>
    </row>
    <row r="340" spans="17:18" x14ac:dyDescent="0.15">
      <c r="Q340" s="35"/>
      <c r="R340" s="35"/>
    </row>
    <row r="341" spans="17:18" x14ac:dyDescent="0.15">
      <c r="Q341" s="35"/>
      <c r="R341" s="35"/>
    </row>
    <row r="342" spans="17:18" x14ac:dyDescent="0.15">
      <c r="Q342" s="35"/>
      <c r="R342" s="35"/>
    </row>
    <row r="343" spans="17:18" x14ac:dyDescent="0.15">
      <c r="Q343" s="35"/>
      <c r="R343" s="35"/>
    </row>
    <row r="344" spans="17:18" x14ac:dyDescent="0.15">
      <c r="Q344" s="35"/>
      <c r="R344" s="35"/>
    </row>
    <row r="345" spans="17:18" x14ac:dyDescent="0.15">
      <c r="Q345" s="35"/>
      <c r="R345" s="35"/>
    </row>
    <row r="346" spans="17:18" x14ac:dyDescent="0.15">
      <c r="Q346" s="35"/>
      <c r="R346" s="35"/>
    </row>
    <row r="347" spans="17:18" x14ac:dyDescent="0.15">
      <c r="Q347" s="35"/>
      <c r="R347" s="35"/>
    </row>
    <row r="348" spans="17:18" x14ac:dyDescent="0.15">
      <c r="Q348" s="35"/>
      <c r="R348" s="35"/>
    </row>
    <row r="349" spans="17:18" x14ac:dyDescent="0.15">
      <c r="Q349" s="35"/>
      <c r="R349" s="35"/>
    </row>
    <row r="350" spans="17:18" x14ac:dyDescent="0.15">
      <c r="Q350" s="35"/>
      <c r="R350" s="35"/>
    </row>
    <row r="351" spans="17:18" x14ac:dyDescent="0.15">
      <c r="Q351" s="35"/>
      <c r="R351" s="35"/>
    </row>
    <row r="352" spans="17:18" x14ac:dyDescent="0.15">
      <c r="Q352" s="35"/>
      <c r="R352" s="35"/>
    </row>
    <row r="353" spans="17:18" x14ac:dyDescent="0.15">
      <c r="Q353" s="35"/>
      <c r="R353" s="35"/>
    </row>
    <row r="354" spans="17:18" x14ac:dyDescent="0.15">
      <c r="Q354" s="35"/>
      <c r="R354" s="35"/>
    </row>
    <row r="355" spans="17:18" x14ac:dyDescent="0.15">
      <c r="Q355" s="35"/>
      <c r="R355" s="35"/>
    </row>
    <row r="356" spans="17:18" x14ac:dyDescent="0.15">
      <c r="Q356" s="35"/>
      <c r="R356" s="35"/>
    </row>
    <row r="357" spans="17:18" x14ac:dyDescent="0.15">
      <c r="Q357" s="35"/>
      <c r="R357" s="35"/>
    </row>
    <row r="358" spans="17:18" x14ac:dyDescent="0.15">
      <c r="Q358" s="35"/>
      <c r="R358" s="35"/>
    </row>
    <row r="359" spans="17:18" x14ac:dyDescent="0.15">
      <c r="Q359" s="35"/>
      <c r="R359" s="35"/>
    </row>
    <row r="360" spans="17:18" x14ac:dyDescent="0.15">
      <c r="Q360" s="35"/>
      <c r="R360" s="35"/>
    </row>
    <row r="361" spans="17:18" x14ac:dyDescent="0.15">
      <c r="Q361" s="35"/>
      <c r="R361" s="35"/>
    </row>
    <row r="362" spans="17:18" x14ac:dyDescent="0.15">
      <c r="Q362" s="35"/>
      <c r="R362" s="35"/>
    </row>
    <row r="363" spans="17:18" x14ac:dyDescent="0.15">
      <c r="Q363" s="35"/>
      <c r="R363" s="35"/>
    </row>
    <row r="364" spans="17:18" x14ac:dyDescent="0.15">
      <c r="Q364" s="35"/>
      <c r="R364" s="35"/>
    </row>
    <row r="365" spans="17:18" x14ac:dyDescent="0.15">
      <c r="Q365" s="35"/>
      <c r="R365" s="35"/>
    </row>
    <row r="366" spans="17:18" x14ac:dyDescent="0.15">
      <c r="Q366" s="35"/>
      <c r="R366" s="35"/>
    </row>
    <row r="367" spans="17:18" x14ac:dyDescent="0.15">
      <c r="Q367" s="35"/>
      <c r="R367" s="35"/>
    </row>
    <row r="368" spans="17:18" x14ac:dyDescent="0.15">
      <c r="Q368" s="35"/>
      <c r="R368" s="35"/>
    </row>
    <row r="369" spans="17:18" x14ac:dyDescent="0.15">
      <c r="Q369" s="35"/>
      <c r="R369" s="35"/>
    </row>
    <row r="370" spans="17:18" x14ac:dyDescent="0.15">
      <c r="Q370" s="35"/>
      <c r="R370" s="35"/>
    </row>
    <row r="371" spans="17:18" x14ac:dyDescent="0.15">
      <c r="Q371" s="35"/>
      <c r="R371" s="35"/>
    </row>
    <row r="372" spans="17:18" x14ac:dyDescent="0.15">
      <c r="Q372" s="35"/>
      <c r="R372" s="35"/>
    </row>
    <row r="373" spans="17:18" x14ac:dyDescent="0.15">
      <c r="Q373" s="35"/>
      <c r="R373" s="35"/>
    </row>
    <row r="374" spans="17:18" x14ac:dyDescent="0.15">
      <c r="Q374" s="35"/>
      <c r="R374" s="35"/>
    </row>
    <row r="375" spans="17:18" x14ac:dyDescent="0.15">
      <c r="Q375" s="35"/>
      <c r="R375" s="35"/>
    </row>
    <row r="376" spans="17:18" x14ac:dyDescent="0.15">
      <c r="Q376" s="35"/>
      <c r="R376" s="35"/>
    </row>
    <row r="377" spans="17:18" x14ac:dyDescent="0.15">
      <c r="Q377" s="35"/>
      <c r="R377" s="35"/>
    </row>
    <row r="378" spans="17:18" x14ac:dyDescent="0.15">
      <c r="Q378" s="35"/>
      <c r="R378" s="35"/>
    </row>
    <row r="379" spans="17:18" x14ac:dyDescent="0.15">
      <c r="Q379" s="35"/>
      <c r="R379" s="35"/>
    </row>
    <row r="380" spans="17:18" x14ac:dyDescent="0.15">
      <c r="Q380" s="35"/>
      <c r="R380" s="35"/>
    </row>
    <row r="381" spans="17:18" x14ac:dyDescent="0.15">
      <c r="Q381" s="35"/>
      <c r="R381" s="35"/>
    </row>
    <row r="382" spans="17:18" x14ac:dyDescent="0.15">
      <c r="Q382" s="35"/>
      <c r="R382" s="35"/>
    </row>
    <row r="383" spans="17:18" x14ac:dyDescent="0.15">
      <c r="Q383" s="35"/>
      <c r="R383" s="35"/>
    </row>
    <row r="384" spans="17:18" x14ac:dyDescent="0.15">
      <c r="Q384" s="35"/>
      <c r="R384" s="35"/>
    </row>
    <row r="385" spans="17:18" x14ac:dyDescent="0.15">
      <c r="Q385" s="35"/>
      <c r="R385" s="35"/>
    </row>
    <row r="386" spans="17:18" x14ac:dyDescent="0.15">
      <c r="Q386" s="35"/>
      <c r="R386" s="35"/>
    </row>
    <row r="387" spans="17:18" x14ac:dyDescent="0.15">
      <c r="Q387" s="35"/>
      <c r="R387" s="35"/>
    </row>
    <row r="388" spans="17:18" x14ac:dyDescent="0.15">
      <c r="Q388" s="35"/>
      <c r="R388" s="35"/>
    </row>
    <row r="389" spans="17:18" x14ac:dyDescent="0.15">
      <c r="Q389" s="35"/>
      <c r="R389" s="35"/>
    </row>
    <row r="390" spans="17:18" x14ac:dyDescent="0.15">
      <c r="Q390" s="35"/>
      <c r="R390" s="35"/>
    </row>
    <row r="391" spans="17:18" x14ac:dyDescent="0.15">
      <c r="Q391" s="35"/>
      <c r="R391" s="35"/>
    </row>
    <row r="392" spans="17:18" x14ac:dyDescent="0.15">
      <c r="Q392" s="35"/>
      <c r="R392" s="35"/>
    </row>
    <row r="393" spans="17:18" x14ac:dyDescent="0.15">
      <c r="Q393" s="35"/>
      <c r="R393" s="35"/>
    </row>
    <row r="394" spans="17:18" x14ac:dyDescent="0.15">
      <c r="Q394" s="35"/>
      <c r="R394" s="35"/>
    </row>
    <row r="395" spans="17:18" x14ac:dyDescent="0.15">
      <c r="Q395" s="35"/>
      <c r="R395" s="35"/>
    </row>
    <row r="396" spans="17:18" x14ac:dyDescent="0.15">
      <c r="Q396" s="35"/>
      <c r="R396" s="35"/>
    </row>
    <row r="397" spans="17:18" x14ac:dyDescent="0.15">
      <c r="Q397" s="35"/>
      <c r="R397" s="35"/>
    </row>
    <row r="398" spans="17:18" x14ac:dyDescent="0.15">
      <c r="Q398" s="35"/>
      <c r="R398" s="35"/>
    </row>
    <row r="399" spans="17:18" x14ac:dyDescent="0.15">
      <c r="Q399" s="35"/>
      <c r="R399" s="35"/>
    </row>
    <row r="400" spans="17:18" x14ac:dyDescent="0.15">
      <c r="Q400" s="35"/>
      <c r="R400" s="35"/>
    </row>
    <row r="401" spans="17:18" x14ac:dyDescent="0.15">
      <c r="Q401" s="35"/>
      <c r="R401" s="35"/>
    </row>
    <row r="402" spans="17:18" x14ac:dyDescent="0.15">
      <c r="Q402" s="35"/>
      <c r="R402" s="35"/>
    </row>
    <row r="403" spans="17:18" x14ac:dyDescent="0.15">
      <c r="Q403" s="35"/>
      <c r="R403" s="35"/>
    </row>
    <row r="404" spans="17:18" x14ac:dyDescent="0.15">
      <c r="Q404" s="35"/>
      <c r="R404" s="35"/>
    </row>
    <row r="405" spans="17:18" x14ac:dyDescent="0.15">
      <c r="Q405" s="35"/>
      <c r="R405" s="35"/>
    </row>
    <row r="406" spans="17:18" x14ac:dyDescent="0.15">
      <c r="Q406" s="35"/>
      <c r="R406" s="35"/>
    </row>
    <row r="407" spans="17:18" x14ac:dyDescent="0.15">
      <c r="Q407" s="35"/>
      <c r="R407" s="35"/>
    </row>
    <row r="408" spans="17:18" x14ac:dyDescent="0.15">
      <c r="Q408" s="35"/>
      <c r="R408" s="35"/>
    </row>
    <row r="409" spans="17:18" x14ac:dyDescent="0.15">
      <c r="Q409" s="35"/>
      <c r="R409" s="35"/>
    </row>
    <row r="410" spans="17:18" x14ac:dyDescent="0.15">
      <c r="Q410" s="35"/>
      <c r="R410" s="35"/>
    </row>
    <row r="411" spans="17:18" x14ac:dyDescent="0.15">
      <c r="Q411" s="35"/>
      <c r="R411" s="35"/>
    </row>
    <row r="412" spans="17:18" x14ac:dyDescent="0.15">
      <c r="Q412" s="35"/>
      <c r="R412" s="35"/>
    </row>
    <row r="413" spans="17:18" x14ac:dyDescent="0.15">
      <c r="Q413" s="35"/>
      <c r="R413" s="35"/>
    </row>
    <row r="414" spans="17:18" x14ac:dyDescent="0.15">
      <c r="Q414" s="35"/>
      <c r="R414" s="35"/>
    </row>
    <row r="415" spans="17:18" x14ac:dyDescent="0.15">
      <c r="Q415" s="35"/>
      <c r="R415" s="35"/>
    </row>
    <row r="416" spans="17:18" x14ac:dyDescent="0.15">
      <c r="Q416" s="35"/>
      <c r="R416" s="35"/>
    </row>
    <row r="417" spans="17:18" x14ac:dyDescent="0.15">
      <c r="Q417" s="35"/>
      <c r="R417" s="35"/>
    </row>
    <row r="418" spans="17:18" x14ac:dyDescent="0.15">
      <c r="Q418" s="35"/>
      <c r="R418" s="35"/>
    </row>
    <row r="419" spans="17:18" x14ac:dyDescent="0.15">
      <c r="Q419" s="35"/>
      <c r="R419" s="35"/>
    </row>
    <row r="420" spans="17:18" x14ac:dyDescent="0.15">
      <c r="Q420" s="35"/>
      <c r="R420" s="35"/>
    </row>
    <row r="421" spans="17:18" x14ac:dyDescent="0.15">
      <c r="Q421" s="35"/>
      <c r="R421" s="35"/>
    </row>
    <row r="422" spans="17:18" x14ac:dyDescent="0.15">
      <c r="Q422" s="35"/>
      <c r="R422" s="35"/>
    </row>
    <row r="423" spans="17:18" x14ac:dyDescent="0.15">
      <c r="Q423" s="35"/>
      <c r="R423" s="35"/>
    </row>
    <row r="424" spans="17:18" x14ac:dyDescent="0.15">
      <c r="Q424" s="35"/>
      <c r="R424" s="35"/>
    </row>
    <row r="425" spans="17:18" x14ac:dyDescent="0.15">
      <c r="Q425" s="35"/>
      <c r="R425" s="35"/>
    </row>
    <row r="426" spans="17:18" x14ac:dyDescent="0.15">
      <c r="Q426" s="35"/>
      <c r="R426" s="35"/>
    </row>
    <row r="427" spans="17:18" x14ac:dyDescent="0.15">
      <c r="Q427" s="35"/>
      <c r="R427" s="35"/>
    </row>
    <row r="428" spans="17:18" x14ac:dyDescent="0.15">
      <c r="Q428" s="35"/>
      <c r="R428" s="35"/>
    </row>
    <row r="429" spans="17:18" x14ac:dyDescent="0.15">
      <c r="Q429" s="35"/>
      <c r="R429" s="35"/>
    </row>
    <row r="430" spans="17:18" x14ac:dyDescent="0.15">
      <c r="Q430" s="35"/>
      <c r="R430" s="35"/>
    </row>
    <row r="431" spans="17:18" x14ac:dyDescent="0.15">
      <c r="Q431" s="35"/>
      <c r="R431" s="35"/>
    </row>
    <row r="432" spans="17:18" x14ac:dyDescent="0.15">
      <c r="Q432" s="35"/>
      <c r="R432" s="35"/>
    </row>
    <row r="433" spans="17:18" x14ac:dyDescent="0.15">
      <c r="Q433" s="35"/>
      <c r="R433" s="35"/>
    </row>
    <row r="434" spans="17:18" x14ac:dyDescent="0.15">
      <c r="Q434" s="35"/>
      <c r="R434" s="35"/>
    </row>
    <row r="435" spans="17:18" x14ac:dyDescent="0.15">
      <c r="Q435" s="35"/>
      <c r="R435" s="35"/>
    </row>
    <row r="436" spans="17:18" x14ac:dyDescent="0.15">
      <c r="Q436" s="35"/>
      <c r="R436" s="35"/>
    </row>
    <row r="437" spans="17:18" x14ac:dyDescent="0.15">
      <c r="Q437" s="35"/>
      <c r="R437" s="35"/>
    </row>
    <row r="438" spans="17:18" x14ac:dyDescent="0.15">
      <c r="Q438" s="35"/>
      <c r="R438" s="35"/>
    </row>
    <row r="439" spans="17:18" x14ac:dyDescent="0.15">
      <c r="Q439" s="35"/>
      <c r="R439" s="35"/>
    </row>
    <row r="440" spans="17:18" x14ac:dyDescent="0.15">
      <c r="Q440" s="35"/>
      <c r="R440" s="35"/>
    </row>
    <row r="441" spans="17:18" x14ac:dyDescent="0.15">
      <c r="Q441" s="35"/>
      <c r="R441" s="35"/>
    </row>
    <row r="442" spans="17:18" x14ac:dyDescent="0.15">
      <c r="Q442" s="35"/>
      <c r="R442" s="35"/>
    </row>
    <row r="443" spans="17:18" x14ac:dyDescent="0.15">
      <c r="Q443" s="35"/>
      <c r="R443" s="35"/>
    </row>
    <row r="444" spans="17:18" x14ac:dyDescent="0.15">
      <c r="Q444" s="35"/>
      <c r="R444" s="35"/>
    </row>
    <row r="445" spans="17:18" x14ac:dyDescent="0.15">
      <c r="Q445" s="35"/>
      <c r="R445" s="35"/>
    </row>
    <row r="446" spans="17:18" x14ac:dyDescent="0.15">
      <c r="Q446" s="35"/>
      <c r="R446" s="35"/>
    </row>
    <row r="447" spans="17:18" x14ac:dyDescent="0.15">
      <c r="Q447" s="35"/>
      <c r="R447" s="35"/>
    </row>
    <row r="448" spans="17:18" x14ac:dyDescent="0.15">
      <c r="Q448" s="35"/>
      <c r="R448" s="35"/>
    </row>
    <row r="449" spans="17:18" x14ac:dyDescent="0.15">
      <c r="Q449" s="35"/>
      <c r="R449" s="35"/>
    </row>
    <row r="450" spans="17:18" x14ac:dyDescent="0.15">
      <c r="Q450" s="35"/>
      <c r="R450" s="35"/>
    </row>
    <row r="451" spans="17:18" x14ac:dyDescent="0.15">
      <c r="Q451" s="35"/>
      <c r="R451" s="35"/>
    </row>
    <row r="452" spans="17:18" x14ac:dyDescent="0.15">
      <c r="Q452" s="35"/>
      <c r="R452" s="35"/>
    </row>
    <row r="453" spans="17:18" x14ac:dyDescent="0.15">
      <c r="Q453" s="35"/>
      <c r="R453" s="35"/>
    </row>
    <row r="454" spans="17:18" x14ac:dyDescent="0.15">
      <c r="Q454" s="35"/>
      <c r="R454" s="35"/>
    </row>
    <row r="455" spans="17:18" x14ac:dyDescent="0.15">
      <c r="Q455" s="35"/>
      <c r="R455" s="35"/>
    </row>
    <row r="456" spans="17:18" x14ac:dyDescent="0.15">
      <c r="Q456" s="35"/>
      <c r="R456" s="35"/>
    </row>
    <row r="457" spans="17:18" x14ac:dyDescent="0.15">
      <c r="Q457" s="35"/>
      <c r="R457" s="35"/>
    </row>
    <row r="458" spans="17:18" x14ac:dyDescent="0.15">
      <c r="Q458" s="35"/>
      <c r="R458" s="35"/>
    </row>
    <row r="459" spans="17:18" x14ac:dyDescent="0.15">
      <c r="Q459" s="35"/>
      <c r="R459" s="35"/>
    </row>
    <row r="460" spans="17:18" x14ac:dyDescent="0.15">
      <c r="Q460" s="35"/>
      <c r="R460" s="35"/>
    </row>
    <row r="461" spans="17:18" x14ac:dyDescent="0.15">
      <c r="Q461" s="35"/>
      <c r="R461" s="35"/>
    </row>
    <row r="462" spans="17:18" x14ac:dyDescent="0.15">
      <c r="Q462" s="35"/>
      <c r="R462" s="35"/>
    </row>
    <row r="463" spans="17:18" x14ac:dyDescent="0.15">
      <c r="Q463" s="35"/>
      <c r="R463" s="35"/>
    </row>
    <row r="464" spans="17:18" x14ac:dyDescent="0.15">
      <c r="Q464" s="35"/>
      <c r="R464" s="35"/>
    </row>
    <row r="465" spans="17:18" x14ac:dyDescent="0.15">
      <c r="Q465" s="35"/>
      <c r="R465" s="35"/>
    </row>
    <row r="466" spans="17:18" x14ac:dyDescent="0.15">
      <c r="Q466" s="35"/>
      <c r="R466" s="35"/>
    </row>
    <row r="467" spans="17:18" x14ac:dyDescent="0.15">
      <c r="Q467" s="35"/>
      <c r="R467" s="35"/>
    </row>
    <row r="468" spans="17:18" x14ac:dyDescent="0.15">
      <c r="Q468" s="35"/>
      <c r="R468" s="35"/>
    </row>
    <row r="469" spans="17:18" x14ac:dyDescent="0.15">
      <c r="Q469" s="35"/>
      <c r="R469" s="35"/>
    </row>
    <row r="470" spans="17:18" x14ac:dyDescent="0.15">
      <c r="Q470" s="35"/>
      <c r="R470" s="35"/>
    </row>
    <row r="471" spans="17:18" x14ac:dyDescent="0.15">
      <c r="Q471" s="35"/>
      <c r="R471" s="35"/>
    </row>
    <row r="472" spans="17:18" x14ac:dyDescent="0.15">
      <c r="Q472" s="35"/>
      <c r="R472" s="35"/>
    </row>
    <row r="473" spans="17:18" x14ac:dyDescent="0.15">
      <c r="Q473" s="35"/>
      <c r="R473" s="35"/>
    </row>
    <row r="474" spans="17:18" x14ac:dyDescent="0.15">
      <c r="Q474" s="35"/>
      <c r="R474" s="35"/>
    </row>
    <row r="475" spans="17:18" x14ac:dyDescent="0.15">
      <c r="Q475" s="35"/>
      <c r="R475" s="35"/>
    </row>
    <row r="476" spans="17:18" x14ac:dyDescent="0.15">
      <c r="Q476" s="35"/>
      <c r="R476" s="35"/>
    </row>
    <row r="477" spans="17:18" x14ac:dyDescent="0.15">
      <c r="Q477" s="35"/>
      <c r="R477" s="35"/>
    </row>
    <row r="478" spans="17:18" x14ac:dyDescent="0.15">
      <c r="Q478" s="35"/>
      <c r="R478" s="35"/>
    </row>
    <row r="479" spans="17:18" x14ac:dyDescent="0.15">
      <c r="Q479" s="35"/>
      <c r="R479" s="35"/>
    </row>
    <row r="480" spans="17:18" x14ac:dyDescent="0.15">
      <c r="Q480" s="35"/>
      <c r="R480" s="35"/>
    </row>
    <row r="481" spans="17:18" x14ac:dyDescent="0.15">
      <c r="Q481" s="35"/>
      <c r="R481" s="35"/>
    </row>
    <row r="482" spans="17:18" x14ac:dyDescent="0.15">
      <c r="Q482" s="35"/>
      <c r="R482" s="35"/>
    </row>
    <row r="483" spans="17:18" x14ac:dyDescent="0.15">
      <c r="Q483" s="35"/>
      <c r="R483" s="35"/>
    </row>
    <row r="484" spans="17:18" x14ac:dyDescent="0.15">
      <c r="Q484" s="35"/>
      <c r="R484" s="35"/>
    </row>
    <row r="485" spans="17:18" x14ac:dyDescent="0.15">
      <c r="Q485" s="35"/>
      <c r="R485" s="35"/>
    </row>
    <row r="486" spans="17:18" x14ac:dyDescent="0.15">
      <c r="Q486" s="35"/>
      <c r="R486" s="35"/>
    </row>
    <row r="487" spans="17:18" x14ac:dyDescent="0.15">
      <c r="Q487" s="35"/>
      <c r="R487" s="35"/>
    </row>
    <row r="488" spans="17:18" x14ac:dyDescent="0.15">
      <c r="Q488" s="35"/>
      <c r="R488" s="35"/>
    </row>
    <row r="489" spans="17:18" x14ac:dyDescent="0.15">
      <c r="Q489" s="35"/>
      <c r="R489" s="35"/>
    </row>
    <row r="490" spans="17:18" x14ac:dyDescent="0.15">
      <c r="Q490" s="35"/>
      <c r="R490" s="35"/>
    </row>
    <row r="491" spans="17:18" x14ac:dyDescent="0.15">
      <c r="Q491" s="35"/>
      <c r="R491" s="35"/>
    </row>
    <row r="492" spans="17:18" x14ac:dyDescent="0.15">
      <c r="Q492" s="35"/>
      <c r="R492" s="35"/>
    </row>
    <row r="493" spans="17:18" x14ac:dyDescent="0.15">
      <c r="Q493" s="35"/>
      <c r="R493" s="35"/>
    </row>
    <row r="494" spans="17:18" x14ac:dyDescent="0.15">
      <c r="Q494" s="35"/>
      <c r="R494" s="35"/>
    </row>
    <row r="495" spans="17:18" x14ac:dyDescent="0.15">
      <c r="Q495" s="35"/>
      <c r="R495" s="35"/>
    </row>
    <row r="496" spans="17:18" x14ac:dyDescent="0.15">
      <c r="Q496" s="35"/>
      <c r="R496" s="35"/>
    </row>
    <row r="497" spans="17:18" x14ac:dyDescent="0.15">
      <c r="Q497" s="35"/>
      <c r="R497" s="35"/>
    </row>
    <row r="498" spans="17:18" x14ac:dyDescent="0.15">
      <c r="Q498" s="35"/>
      <c r="R498" s="35"/>
    </row>
    <row r="499" spans="17:18" x14ac:dyDescent="0.15">
      <c r="Q499" s="35"/>
      <c r="R499" s="35"/>
    </row>
    <row r="500" spans="17:18" x14ac:dyDescent="0.15">
      <c r="Q500" s="35"/>
      <c r="R500" s="35"/>
    </row>
    <row r="501" spans="17:18" x14ac:dyDescent="0.15">
      <c r="Q501" s="35"/>
      <c r="R501" s="35"/>
    </row>
    <row r="502" spans="17:18" x14ac:dyDescent="0.15">
      <c r="Q502" s="35"/>
      <c r="R502" s="35"/>
    </row>
    <row r="503" spans="17:18" x14ac:dyDescent="0.15">
      <c r="Q503" s="35"/>
      <c r="R503" s="35"/>
    </row>
    <row r="504" spans="17:18" x14ac:dyDescent="0.15">
      <c r="Q504" s="35"/>
      <c r="R504" s="35"/>
    </row>
    <row r="505" spans="17:18" x14ac:dyDescent="0.15">
      <c r="Q505" s="35"/>
      <c r="R505" s="35"/>
    </row>
    <row r="506" spans="17:18" x14ac:dyDescent="0.15">
      <c r="Q506" s="35"/>
      <c r="R506" s="35"/>
    </row>
    <row r="507" spans="17:18" x14ac:dyDescent="0.15">
      <c r="Q507" s="35"/>
      <c r="R507" s="35"/>
    </row>
    <row r="508" spans="17:18" x14ac:dyDescent="0.15">
      <c r="Q508" s="35"/>
      <c r="R508" s="35"/>
    </row>
    <row r="509" spans="17:18" x14ac:dyDescent="0.15">
      <c r="Q509" s="35"/>
      <c r="R509" s="35"/>
    </row>
    <row r="510" spans="17:18" x14ac:dyDescent="0.15">
      <c r="Q510" s="35"/>
      <c r="R510" s="35"/>
    </row>
    <row r="511" spans="17:18" x14ac:dyDescent="0.15">
      <c r="Q511" s="35"/>
      <c r="R511" s="35"/>
    </row>
    <row r="512" spans="17:18" x14ac:dyDescent="0.15">
      <c r="Q512" s="35"/>
      <c r="R512" s="35"/>
    </row>
    <row r="513" spans="17:18" x14ac:dyDescent="0.15">
      <c r="Q513" s="35"/>
      <c r="R513" s="35"/>
    </row>
    <row r="514" spans="17:18" x14ac:dyDescent="0.15">
      <c r="Q514" s="35"/>
      <c r="R514" s="35"/>
    </row>
    <row r="515" spans="17:18" x14ac:dyDescent="0.15">
      <c r="Q515" s="35"/>
      <c r="R515" s="35"/>
    </row>
    <row r="516" spans="17:18" x14ac:dyDescent="0.15">
      <c r="Q516" s="35"/>
      <c r="R516" s="35"/>
    </row>
    <row r="517" spans="17:18" x14ac:dyDescent="0.15">
      <c r="Q517" s="35"/>
      <c r="R517" s="35"/>
    </row>
    <row r="518" spans="17:18" x14ac:dyDescent="0.15">
      <c r="Q518" s="35"/>
      <c r="R518" s="35"/>
    </row>
    <row r="519" spans="17:18" x14ac:dyDescent="0.15">
      <c r="Q519" s="35"/>
      <c r="R519" s="35"/>
    </row>
    <row r="520" spans="17:18" x14ac:dyDescent="0.15">
      <c r="Q520" s="35"/>
      <c r="R520" s="35"/>
    </row>
    <row r="521" spans="17:18" x14ac:dyDescent="0.15">
      <c r="Q521" s="35"/>
      <c r="R521" s="35"/>
    </row>
    <row r="522" spans="17:18" x14ac:dyDescent="0.15">
      <c r="Q522" s="35"/>
      <c r="R522" s="35"/>
    </row>
    <row r="523" spans="17:18" x14ac:dyDescent="0.15">
      <c r="Q523" s="35"/>
      <c r="R523" s="35"/>
    </row>
    <row r="524" spans="17:18" x14ac:dyDescent="0.15">
      <c r="Q524" s="35"/>
      <c r="R524" s="35"/>
    </row>
    <row r="525" spans="17:18" x14ac:dyDescent="0.15">
      <c r="Q525" s="35"/>
      <c r="R525" s="35"/>
    </row>
    <row r="526" spans="17:18" x14ac:dyDescent="0.15">
      <c r="Q526" s="35"/>
      <c r="R526" s="35"/>
    </row>
    <row r="527" spans="17:18" x14ac:dyDescent="0.15">
      <c r="Q527" s="35"/>
      <c r="R527" s="35"/>
    </row>
    <row r="528" spans="17:18" x14ac:dyDescent="0.15">
      <c r="Q528" s="35"/>
      <c r="R528" s="35"/>
    </row>
    <row r="529" spans="17:18" x14ac:dyDescent="0.15">
      <c r="Q529" s="35"/>
      <c r="R529" s="35"/>
    </row>
    <row r="530" spans="17:18" x14ac:dyDescent="0.15">
      <c r="Q530" s="35"/>
      <c r="R530" s="35"/>
    </row>
    <row r="531" spans="17:18" x14ac:dyDescent="0.15">
      <c r="Q531" s="35"/>
      <c r="R531" s="35"/>
    </row>
    <row r="532" spans="17:18" x14ac:dyDescent="0.15">
      <c r="Q532" s="35"/>
      <c r="R532" s="35"/>
    </row>
    <row r="533" spans="17:18" x14ac:dyDescent="0.15">
      <c r="Q533" s="35"/>
      <c r="R533" s="35"/>
    </row>
    <row r="534" spans="17:18" x14ac:dyDescent="0.15">
      <c r="Q534" s="35"/>
      <c r="R534" s="35"/>
    </row>
    <row r="535" spans="17:18" x14ac:dyDescent="0.15">
      <c r="Q535" s="35"/>
      <c r="R535" s="35"/>
    </row>
    <row r="536" spans="17:18" x14ac:dyDescent="0.15">
      <c r="Q536" s="35"/>
      <c r="R536" s="35"/>
    </row>
    <row r="537" spans="17:18" x14ac:dyDescent="0.15">
      <c r="Q537" s="35"/>
      <c r="R537" s="35"/>
    </row>
    <row r="538" spans="17:18" x14ac:dyDescent="0.15">
      <c r="Q538" s="35"/>
      <c r="R538" s="35"/>
    </row>
    <row r="539" spans="17:18" x14ac:dyDescent="0.15">
      <c r="Q539" s="35"/>
      <c r="R539" s="35"/>
    </row>
    <row r="540" spans="17:18" x14ac:dyDescent="0.15">
      <c r="Q540" s="35"/>
      <c r="R540" s="35"/>
    </row>
    <row r="541" spans="17:18" x14ac:dyDescent="0.15">
      <c r="Q541" s="35"/>
      <c r="R541" s="35"/>
    </row>
    <row r="542" spans="17:18" x14ac:dyDescent="0.15">
      <c r="Q542" s="35"/>
      <c r="R542" s="35"/>
    </row>
    <row r="543" spans="17:18" x14ac:dyDescent="0.15">
      <c r="Q543" s="35"/>
      <c r="R543" s="35"/>
    </row>
    <row r="544" spans="17:18" x14ac:dyDescent="0.15">
      <c r="Q544" s="35"/>
      <c r="R544" s="35"/>
    </row>
    <row r="545" spans="17:18" x14ac:dyDescent="0.15">
      <c r="Q545" s="35"/>
      <c r="R545" s="35"/>
    </row>
    <row r="546" spans="17:18" x14ac:dyDescent="0.15">
      <c r="Q546" s="35"/>
      <c r="R546" s="35"/>
    </row>
    <row r="547" spans="17:18" x14ac:dyDescent="0.15">
      <c r="Q547" s="35"/>
      <c r="R547" s="35"/>
    </row>
    <row r="548" spans="17:18" x14ac:dyDescent="0.15">
      <c r="Q548" s="35"/>
      <c r="R548" s="35"/>
    </row>
    <row r="549" spans="17:18" x14ac:dyDescent="0.15">
      <c r="Q549" s="35"/>
      <c r="R549" s="35"/>
    </row>
    <row r="550" spans="17:18" x14ac:dyDescent="0.15">
      <c r="Q550" s="35"/>
      <c r="R550" s="35"/>
    </row>
    <row r="551" spans="17:18" x14ac:dyDescent="0.15">
      <c r="Q551" s="35"/>
      <c r="R551" s="35"/>
    </row>
    <row r="552" spans="17:18" x14ac:dyDescent="0.15">
      <c r="Q552" s="35"/>
      <c r="R552" s="35"/>
    </row>
    <row r="553" spans="17:18" x14ac:dyDescent="0.15">
      <c r="Q553" s="35"/>
      <c r="R553" s="35"/>
    </row>
    <row r="554" spans="17:18" x14ac:dyDescent="0.15">
      <c r="Q554" s="35"/>
      <c r="R554" s="35"/>
    </row>
    <row r="555" spans="17:18" x14ac:dyDescent="0.15">
      <c r="Q555" s="35"/>
      <c r="R555" s="35"/>
    </row>
    <row r="556" spans="17:18" x14ac:dyDescent="0.15">
      <c r="Q556" s="35"/>
      <c r="R556" s="35"/>
    </row>
    <row r="557" spans="17:18" x14ac:dyDescent="0.15">
      <c r="Q557" s="35"/>
      <c r="R557" s="35"/>
    </row>
    <row r="558" spans="17:18" x14ac:dyDescent="0.15">
      <c r="Q558" s="35"/>
      <c r="R558" s="35"/>
    </row>
    <row r="559" spans="17:18" x14ac:dyDescent="0.15">
      <c r="Q559" s="35"/>
      <c r="R559" s="35"/>
    </row>
    <row r="560" spans="17:18" x14ac:dyDescent="0.15">
      <c r="Q560" s="35"/>
      <c r="R560" s="35"/>
    </row>
    <row r="561" spans="17:18" x14ac:dyDescent="0.15">
      <c r="Q561" s="35"/>
      <c r="R561" s="35"/>
    </row>
    <row r="562" spans="17:18" x14ac:dyDescent="0.15">
      <c r="Q562" s="35"/>
      <c r="R562" s="35"/>
    </row>
    <row r="563" spans="17:18" x14ac:dyDescent="0.15">
      <c r="Q563" s="35"/>
      <c r="R563" s="35"/>
    </row>
    <row r="564" spans="17:18" x14ac:dyDescent="0.15">
      <c r="Q564" s="35"/>
      <c r="R564" s="35"/>
    </row>
    <row r="565" spans="17:18" x14ac:dyDescent="0.15">
      <c r="Q565" s="35"/>
      <c r="R565" s="35"/>
    </row>
    <row r="566" spans="17:18" x14ac:dyDescent="0.15">
      <c r="Q566" s="35"/>
      <c r="R566" s="35"/>
    </row>
    <row r="567" spans="17:18" x14ac:dyDescent="0.15">
      <c r="Q567" s="35"/>
      <c r="R567" s="35"/>
    </row>
    <row r="568" spans="17:18" x14ac:dyDescent="0.15">
      <c r="Q568" s="35"/>
      <c r="R568" s="35"/>
    </row>
    <row r="569" spans="17:18" x14ac:dyDescent="0.15">
      <c r="Q569" s="35"/>
      <c r="R569" s="35"/>
    </row>
    <row r="570" spans="17:18" x14ac:dyDescent="0.15">
      <c r="Q570" s="35"/>
      <c r="R570" s="35"/>
    </row>
    <row r="571" spans="17:18" x14ac:dyDescent="0.15">
      <c r="Q571" s="35"/>
      <c r="R571" s="35"/>
    </row>
    <row r="572" spans="17:18" x14ac:dyDescent="0.15">
      <c r="Q572" s="35"/>
      <c r="R572" s="35"/>
    </row>
    <row r="573" spans="17:18" x14ac:dyDescent="0.15">
      <c r="Q573" s="35"/>
      <c r="R573" s="35"/>
    </row>
    <row r="574" spans="17:18" x14ac:dyDescent="0.15">
      <c r="Q574" s="35"/>
      <c r="R574" s="35"/>
    </row>
    <row r="575" spans="17:18" x14ac:dyDescent="0.15">
      <c r="Q575" s="35"/>
      <c r="R575" s="35"/>
    </row>
    <row r="576" spans="17:18" x14ac:dyDescent="0.15">
      <c r="Q576" s="35"/>
      <c r="R576" s="35"/>
    </row>
    <row r="577" spans="17:18" x14ac:dyDescent="0.15">
      <c r="Q577" s="35"/>
      <c r="R577" s="35"/>
    </row>
    <row r="578" spans="17:18" x14ac:dyDescent="0.15">
      <c r="Q578" s="35"/>
      <c r="R578" s="35"/>
    </row>
    <row r="579" spans="17:18" x14ac:dyDescent="0.15">
      <c r="Q579" s="35"/>
      <c r="R579" s="35"/>
    </row>
    <row r="580" spans="17:18" x14ac:dyDescent="0.15">
      <c r="Q580" s="35"/>
      <c r="R580" s="35"/>
    </row>
    <row r="581" spans="17:18" x14ac:dyDescent="0.15">
      <c r="Q581" s="35"/>
      <c r="R581" s="35"/>
    </row>
    <row r="582" spans="17:18" x14ac:dyDescent="0.15">
      <c r="Q582" s="35"/>
      <c r="R582" s="35"/>
    </row>
    <row r="583" spans="17:18" x14ac:dyDescent="0.15">
      <c r="Q583" s="35"/>
      <c r="R583" s="35"/>
    </row>
    <row r="584" spans="17:18" x14ac:dyDescent="0.15">
      <c r="Q584" s="35"/>
      <c r="R584" s="35"/>
    </row>
    <row r="585" spans="17:18" x14ac:dyDescent="0.15">
      <c r="Q585" s="35"/>
      <c r="R585" s="35"/>
    </row>
    <row r="586" spans="17:18" x14ac:dyDescent="0.15">
      <c r="Q586" s="35"/>
      <c r="R586" s="35"/>
    </row>
    <row r="587" spans="17:18" x14ac:dyDescent="0.15">
      <c r="Q587" s="35"/>
      <c r="R587" s="35"/>
    </row>
    <row r="588" spans="17:18" x14ac:dyDescent="0.15">
      <c r="Q588" s="35"/>
      <c r="R588" s="35"/>
    </row>
    <row r="589" spans="17:18" x14ac:dyDescent="0.15">
      <c r="Q589" s="35"/>
      <c r="R589" s="35"/>
    </row>
    <row r="590" spans="17:18" x14ac:dyDescent="0.15">
      <c r="Q590" s="35"/>
      <c r="R590" s="35"/>
    </row>
    <row r="591" spans="17:18" x14ac:dyDescent="0.15">
      <c r="Q591" s="35"/>
      <c r="R591" s="35"/>
    </row>
    <row r="592" spans="17:18" x14ac:dyDescent="0.15">
      <c r="Q592" s="35"/>
      <c r="R592" s="35"/>
    </row>
    <row r="593" spans="17:18" x14ac:dyDescent="0.15">
      <c r="Q593" s="35"/>
      <c r="R593" s="35"/>
    </row>
    <row r="594" spans="17:18" x14ac:dyDescent="0.15">
      <c r="Q594" s="35"/>
      <c r="R594" s="35"/>
    </row>
    <row r="595" spans="17:18" x14ac:dyDescent="0.15">
      <c r="Q595" s="35"/>
      <c r="R595" s="35"/>
    </row>
    <row r="596" spans="17:18" x14ac:dyDescent="0.15">
      <c r="Q596" s="35"/>
      <c r="R596" s="35"/>
    </row>
    <row r="597" spans="17:18" x14ac:dyDescent="0.15">
      <c r="Q597" s="35"/>
      <c r="R597" s="35"/>
    </row>
    <row r="598" spans="17:18" x14ac:dyDescent="0.15">
      <c r="Q598" s="35"/>
      <c r="R598" s="35"/>
    </row>
    <row r="599" spans="17:18" x14ac:dyDescent="0.15">
      <c r="Q599" s="35"/>
      <c r="R599" s="35"/>
    </row>
    <row r="600" spans="17:18" x14ac:dyDescent="0.15">
      <c r="Q600" s="35"/>
      <c r="R600" s="35"/>
    </row>
    <row r="601" spans="17:18" x14ac:dyDescent="0.15">
      <c r="Q601" s="35"/>
      <c r="R601" s="35"/>
    </row>
    <row r="602" spans="17:18" x14ac:dyDescent="0.15">
      <c r="Q602" s="35"/>
      <c r="R602" s="35"/>
    </row>
    <row r="603" spans="17:18" x14ac:dyDescent="0.15">
      <c r="Q603" s="35"/>
      <c r="R603" s="35"/>
    </row>
    <row r="604" spans="17:18" x14ac:dyDescent="0.15">
      <c r="Q604" s="35"/>
      <c r="R604" s="35"/>
    </row>
    <row r="605" spans="17:18" x14ac:dyDescent="0.15">
      <c r="Q605" s="35"/>
      <c r="R605" s="35"/>
    </row>
    <row r="606" spans="17:18" x14ac:dyDescent="0.15">
      <c r="Q606" s="35"/>
      <c r="R606" s="35"/>
    </row>
    <row r="607" spans="17:18" x14ac:dyDescent="0.15">
      <c r="Q607" s="35"/>
      <c r="R607" s="35"/>
    </row>
    <row r="608" spans="17:18" x14ac:dyDescent="0.15">
      <c r="Q608" s="35"/>
      <c r="R608" s="35"/>
    </row>
    <row r="609" spans="17:18" x14ac:dyDescent="0.15">
      <c r="Q609" s="35"/>
      <c r="R609" s="35"/>
    </row>
    <row r="610" spans="17:18" x14ac:dyDescent="0.15">
      <c r="Q610" s="35"/>
      <c r="R610" s="35"/>
    </row>
    <row r="611" spans="17:18" x14ac:dyDescent="0.15">
      <c r="Q611" s="35"/>
      <c r="R611" s="35"/>
    </row>
    <row r="612" spans="17:18" x14ac:dyDescent="0.15">
      <c r="Q612" s="35"/>
      <c r="R612" s="35"/>
    </row>
    <row r="613" spans="17:18" x14ac:dyDescent="0.15">
      <c r="Q613" s="35"/>
      <c r="R613" s="35"/>
    </row>
  </sheetData>
  <sheetProtection algorithmName="SHA-512" hashValue="DbObw9WdfoBxXCV214gsl6Vehad928ghsjYoNGe25/W591NsIqgyUAdiCmo0GbXuD0RfS7hJPF9QiKPqXg8jmQ==" saltValue="2zXzzjKmmGh8/s5FVAyNGA==" spinCount="100000" sheet="1" objects="1" scenarios="1"/>
  <mergeCells count="9">
    <mergeCell ref="AA1:AD1"/>
    <mergeCell ref="AM1:BA1"/>
    <mergeCell ref="BC1:BF1"/>
    <mergeCell ref="D1:G1"/>
    <mergeCell ref="BH1:BZ1"/>
    <mergeCell ref="X1:Y1"/>
    <mergeCell ref="I1:L1"/>
    <mergeCell ref="N1:O1"/>
    <mergeCell ref="Q1:R1"/>
  </mergeCells>
  <hyperlinks>
    <hyperlink ref="A3" location="I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workbookViewId="0">
      <selection activeCell="B1" sqref="B1"/>
    </sheetView>
  </sheetViews>
  <sheetFormatPr baseColWidth="10" defaultColWidth="11.42578125" defaultRowHeight="15" x14ac:dyDescent="0.25"/>
  <cols>
    <col min="1" max="1" width="1.5703125" style="38" customWidth="1"/>
    <col min="2" max="2" width="15.5703125" style="38" bestFit="1" customWidth="1"/>
    <col min="3" max="3" width="13.85546875" style="170" customWidth="1"/>
    <col min="4" max="4" width="12.42578125" style="170" customWidth="1"/>
    <col min="5" max="5" width="12" style="170" customWidth="1"/>
    <col min="6" max="6" width="13.85546875" style="170" customWidth="1"/>
    <col min="7" max="7" width="10.5703125" style="170" customWidth="1"/>
    <col min="8" max="9" width="13.85546875" style="170" customWidth="1"/>
    <col min="10" max="10" width="11.5703125" style="170" customWidth="1"/>
    <col min="11" max="11" width="8.5703125" style="170" customWidth="1"/>
    <col min="12" max="12" width="7.28515625" style="170" customWidth="1"/>
    <col min="13" max="13" width="12.28515625" style="170" customWidth="1"/>
    <col min="14" max="16384" width="11.42578125" style="38"/>
  </cols>
  <sheetData>
    <row r="1" spans="2:16" ht="27" customHeight="1" x14ac:dyDescent="0.25">
      <c r="B1" s="184" t="s">
        <v>196</v>
      </c>
    </row>
    <row r="2" spans="2:16" ht="28.5" customHeight="1" x14ac:dyDescent="0.25">
      <c r="B2" s="174" t="s">
        <v>179</v>
      </c>
      <c r="C2" s="217" t="s">
        <v>180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16" ht="28.5" customHeight="1" x14ac:dyDescent="0.25">
      <c r="B3" s="175" t="s">
        <v>181</v>
      </c>
      <c r="C3" s="171" t="s">
        <v>135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39"/>
      <c r="O3" s="39"/>
      <c r="P3" s="39"/>
    </row>
    <row r="4" spans="2:16" ht="23.25" customHeight="1" x14ac:dyDescent="0.25">
      <c r="B4" s="176"/>
      <c r="C4" s="171" t="s">
        <v>182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39"/>
      <c r="O4" s="39"/>
      <c r="P4" s="39"/>
    </row>
    <row r="5" spans="2:16" ht="16.5" customHeight="1" x14ac:dyDescent="0.25">
      <c r="B5" s="176"/>
      <c r="C5" s="171" t="s">
        <v>183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39"/>
      <c r="O5" s="39"/>
      <c r="P5" s="39"/>
    </row>
    <row r="6" spans="2:16" ht="16.5" customHeight="1" x14ac:dyDescent="0.25">
      <c r="B6" s="176"/>
      <c r="C6" s="215" t="s">
        <v>184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39"/>
      <c r="O6" s="39"/>
      <c r="P6" s="39"/>
    </row>
    <row r="7" spans="2:16" ht="45.75" customHeight="1" x14ac:dyDescent="0.25">
      <c r="B7" s="176"/>
      <c r="C7" s="215" t="s">
        <v>185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39"/>
      <c r="O7" s="39"/>
      <c r="P7" s="39"/>
    </row>
    <row r="8" spans="2:16" ht="17.45" customHeight="1" x14ac:dyDescent="0.3">
      <c r="B8" s="176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39"/>
      <c r="O8" s="39"/>
      <c r="P8" s="39"/>
    </row>
    <row r="9" spans="2:16" ht="54" customHeight="1" x14ac:dyDescent="0.25">
      <c r="B9" s="174" t="s">
        <v>193</v>
      </c>
      <c r="C9" s="218" t="s">
        <v>186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39"/>
      <c r="O9" s="39"/>
      <c r="P9" s="39"/>
    </row>
    <row r="10" spans="2:16" ht="39.75" customHeight="1" x14ac:dyDescent="0.25">
      <c r="C10" s="216" t="s">
        <v>187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39"/>
      <c r="O10" s="39"/>
      <c r="P10" s="39"/>
    </row>
    <row r="11" spans="2:16" ht="45" customHeight="1" x14ac:dyDescent="0.25">
      <c r="C11" s="219" t="s">
        <v>188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39"/>
      <c r="O11" s="39"/>
      <c r="P11" s="39"/>
    </row>
    <row r="12" spans="2:16" ht="26.45" customHeight="1" x14ac:dyDescent="0.25">
      <c r="B12" s="173" t="s">
        <v>192</v>
      </c>
      <c r="C12" s="171" t="s">
        <v>136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39"/>
      <c r="O12" s="39"/>
      <c r="P12" s="39"/>
    </row>
    <row r="13" spans="2:16" ht="45" customHeight="1" x14ac:dyDescent="0.25">
      <c r="C13" s="215" t="s">
        <v>189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39"/>
      <c r="O13" s="39"/>
      <c r="P13" s="39"/>
    </row>
    <row r="14" spans="2:16" ht="44.25" customHeight="1" x14ac:dyDescent="0.25">
      <c r="C14" s="216" t="s">
        <v>190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39"/>
      <c r="O14" s="39"/>
      <c r="P14" s="39"/>
    </row>
    <row r="15" spans="2:16" ht="60.6" customHeight="1" x14ac:dyDescent="0.25">
      <c r="C15" s="215" t="s">
        <v>191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39"/>
      <c r="O15" s="39"/>
      <c r="P15" s="39"/>
    </row>
  </sheetData>
  <sheetProtection sheet="1" objects="1" scenarios="1"/>
  <mergeCells count="9">
    <mergeCell ref="C13:M13"/>
    <mergeCell ref="C14:M14"/>
    <mergeCell ref="C15:M15"/>
    <mergeCell ref="C2:M2"/>
    <mergeCell ref="C6:M6"/>
    <mergeCell ref="C7:M7"/>
    <mergeCell ref="C9:M9"/>
    <mergeCell ref="C10:M10"/>
    <mergeCell ref="C11:M11"/>
  </mergeCells>
  <hyperlinks>
    <hyperlink ref="B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O48"/>
  <sheetViews>
    <sheetView showGridLines="0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2" sqref="B2:D3"/>
    </sheetView>
  </sheetViews>
  <sheetFormatPr baseColWidth="10" defaultColWidth="11.42578125" defaultRowHeight="10.5" x14ac:dyDescent="0.15"/>
  <cols>
    <col min="1" max="1" width="0.85546875" style="42" customWidth="1"/>
    <col min="2" max="2" width="1.7109375" style="42" customWidth="1"/>
    <col min="3" max="3" width="0.85546875" style="42" customWidth="1"/>
    <col min="4" max="4" width="6.85546875" style="42" customWidth="1"/>
    <col min="5" max="8" width="10.7109375" style="42" customWidth="1"/>
    <col min="9" max="9" width="1.5703125" style="59" customWidth="1"/>
    <col min="10" max="22" width="11.28515625" style="59" customWidth="1"/>
    <col min="23" max="23" width="4" style="59" customWidth="1"/>
    <col min="24" max="38" width="11.28515625" style="59" customWidth="1"/>
    <col min="39" max="39" width="9.85546875" style="42" customWidth="1"/>
    <col min="40" max="40" width="10" style="42" customWidth="1"/>
    <col min="41" max="51" width="10.7109375" style="42" customWidth="1"/>
    <col min="52" max="52" width="4.5703125" style="42" customWidth="1"/>
    <col min="53" max="167" width="11.42578125" style="42"/>
    <col min="168" max="168" width="8.5703125" style="42" customWidth="1"/>
    <col min="169" max="16384" width="11.42578125" style="42"/>
  </cols>
  <sheetData>
    <row r="2" spans="2:41" ht="15.6" customHeight="1" x14ac:dyDescent="0.15">
      <c r="B2" s="225" t="s">
        <v>196</v>
      </c>
      <c r="C2" s="225"/>
      <c r="D2" s="225"/>
      <c r="E2" s="220" t="s">
        <v>154</v>
      </c>
      <c r="F2" s="221"/>
      <c r="G2" s="221"/>
      <c r="H2" s="222"/>
      <c r="I2" s="185"/>
      <c r="J2" s="223" t="s">
        <v>157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185"/>
      <c r="X2" s="223" t="s">
        <v>167</v>
      </c>
      <c r="Y2" s="223"/>
      <c r="Z2" s="223"/>
      <c r="AA2" s="223"/>
      <c r="AB2" s="223"/>
      <c r="AC2" s="223"/>
      <c r="AD2" s="185"/>
      <c r="AE2" s="185"/>
    </row>
    <row r="3" spans="2:41" x14ac:dyDescent="0.15">
      <c r="B3" s="225"/>
      <c r="C3" s="225"/>
      <c r="D3" s="225"/>
      <c r="E3" s="81"/>
      <c r="F3" s="81"/>
      <c r="G3" s="81"/>
      <c r="H3" s="81"/>
      <c r="I3" s="62"/>
      <c r="J3" s="62"/>
      <c r="K3" s="62"/>
      <c r="L3" s="62"/>
      <c r="M3" s="62"/>
      <c r="N3" s="62"/>
      <c r="O3" s="62"/>
      <c r="P3" s="224"/>
      <c r="Q3" s="224"/>
      <c r="T3" s="109"/>
      <c r="U3" s="71"/>
      <c r="V3" s="71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2:41" ht="52.5" x14ac:dyDescent="0.15">
      <c r="C4" s="36"/>
      <c r="D4" s="36"/>
      <c r="E4" s="37" t="s">
        <v>152</v>
      </c>
      <c r="F4" s="61" t="s">
        <v>133</v>
      </c>
      <c r="G4" s="61" t="s">
        <v>134</v>
      </c>
      <c r="H4" s="61" t="s">
        <v>153</v>
      </c>
      <c r="I4" s="63"/>
      <c r="J4" s="69" t="s">
        <v>160</v>
      </c>
      <c r="K4" s="69" t="s">
        <v>161</v>
      </c>
      <c r="L4" s="68" t="s">
        <v>164</v>
      </c>
      <c r="M4" s="68" t="s">
        <v>165</v>
      </c>
      <c r="N4" s="68" t="s">
        <v>166</v>
      </c>
      <c r="O4" s="69" t="s">
        <v>162</v>
      </c>
      <c r="P4" s="69" t="s">
        <v>158</v>
      </c>
      <c r="Q4" s="101" t="s">
        <v>159</v>
      </c>
      <c r="R4" s="67" t="s">
        <v>212</v>
      </c>
      <c r="S4" s="67" t="s">
        <v>217</v>
      </c>
      <c r="T4" s="67" t="s">
        <v>253</v>
      </c>
      <c r="U4" s="73" t="s">
        <v>213</v>
      </c>
      <c r="V4" s="67" t="s">
        <v>214</v>
      </c>
      <c r="W4" s="63"/>
      <c r="X4" s="67" t="s">
        <v>168</v>
      </c>
      <c r="Y4" s="73" t="s">
        <v>216</v>
      </c>
      <c r="Z4" s="69" t="s">
        <v>169</v>
      </c>
      <c r="AA4" s="67" t="s">
        <v>170</v>
      </c>
      <c r="AB4" s="69" t="s">
        <v>171</v>
      </c>
      <c r="AC4" s="67" t="s">
        <v>215</v>
      </c>
      <c r="AD4" s="63"/>
      <c r="AE4" s="63"/>
      <c r="AF4" s="63"/>
      <c r="AG4" s="63"/>
      <c r="AH4" s="63"/>
      <c r="AI4" s="63"/>
      <c r="AJ4" s="63"/>
      <c r="AK4" s="63"/>
      <c r="AL4" s="63"/>
    </row>
    <row r="5" spans="2:41" ht="15" customHeight="1" x14ac:dyDescent="0.15">
      <c r="E5" s="28" t="s">
        <v>132</v>
      </c>
      <c r="F5" s="28" t="s">
        <v>132</v>
      </c>
      <c r="G5" s="28" t="s">
        <v>132</v>
      </c>
      <c r="H5" s="28" t="s">
        <v>132</v>
      </c>
      <c r="I5" s="64"/>
      <c r="J5" s="28" t="s">
        <v>132</v>
      </c>
      <c r="K5" s="28" t="s">
        <v>132</v>
      </c>
      <c r="L5" s="28" t="s">
        <v>132</v>
      </c>
      <c r="M5" s="28" t="s">
        <v>132</v>
      </c>
      <c r="N5" s="28" t="s">
        <v>132</v>
      </c>
      <c r="O5" s="28" t="s">
        <v>132</v>
      </c>
      <c r="P5" s="28" t="s">
        <v>132</v>
      </c>
      <c r="Q5" s="28" t="s">
        <v>132</v>
      </c>
      <c r="R5" s="28" t="s">
        <v>132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2:41" ht="12.75" customHeight="1" x14ac:dyDescent="0.15">
      <c r="B6" s="22"/>
      <c r="D6" s="29">
        <v>2003</v>
      </c>
      <c r="E6" s="60">
        <f>+F6+G6+H6</f>
        <v>403242.70180407853</v>
      </c>
      <c r="F6" s="60">
        <f>+Cálculos_trabajo!H14</f>
        <v>342464.35771899996</v>
      </c>
      <c r="G6" s="60">
        <f>+Cálculos_capital!B13+Cálculos_capital!D13+Cálculos_capital!F13</f>
        <v>35642.249607708516</v>
      </c>
      <c r="H6" s="60">
        <f>+Cálculos_actividad_eco!B13</f>
        <v>25136.094477370054</v>
      </c>
      <c r="I6" s="65"/>
      <c r="J6" s="65">
        <f>+Cálculos_trabajo!CZ14</f>
        <v>39162.109504000022</v>
      </c>
      <c r="K6" s="65">
        <f>+Cálculos_capital!CZ13</f>
        <v>2989.7599685497767</v>
      </c>
      <c r="L6" s="65">
        <f>+Cálculos_capital!CM13</f>
        <v>1774.3162961997771</v>
      </c>
      <c r="M6" s="65">
        <f>+Cálculos_capital!CN13</f>
        <v>967.42431114999999</v>
      </c>
      <c r="N6" s="65">
        <f>+Cálculos_capital!CO13</f>
        <v>248.01936119999991</v>
      </c>
      <c r="O6" s="65">
        <f>+Cálculos_actividad_eco!BM13</f>
        <v>5428.0627820069085</v>
      </c>
      <c r="P6" s="65"/>
      <c r="Q6" s="65">
        <v>870.42724307000026</v>
      </c>
      <c r="R6" s="72">
        <f t="shared" ref="R6:R21" si="0">+J6+K6+O6+P6+Q6</f>
        <v>48450.359497626705</v>
      </c>
      <c r="S6" s="74">
        <f t="shared" ref="S6:S16" si="1">+R6/E6*100</f>
        <v>12.015185713433453</v>
      </c>
      <c r="T6" s="65">
        <v>-4438.4856997000052</v>
      </c>
      <c r="U6" s="65">
        <f t="shared" ref="U6:U16" si="2">+R6+T6</f>
        <v>44011.873797926703</v>
      </c>
      <c r="V6" s="77">
        <f t="shared" ref="V6:V16" si="3">+U6/E6*100</f>
        <v>10.914487379689893</v>
      </c>
      <c r="W6" s="75"/>
      <c r="X6" s="65">
        <f>+U6</f>
        <v>44011.873797926703</v>
      </c>
      <c r="Y6" s="65">
        <v>55685.727999999996</v>
      </c>
      <c r="Z6" s="76">
        <f>+Y6/X6</f>
        <v>1.265243289928347</v>
      </c>
      <c r="AA6" s="65">
        <v>9234.4560000000001</v>
      </c>
      <c r="AB6" s="76">
        <f>+AA6/X6</f>
        <v>0.20981737888276444</v>
      </c>
      <c r="AC6" s="65">
        <f>+Y6-AA6</f>
        <v>46451.271999999997</v>
      </c>
      <c r="AD6" s="75"/>
      <c r="AE6" s="75"/>
      <c r="AF6" s="75"/>
      <c r="AG6" s="75"/>
      <c r="AH6" s="75"/>
      <c r="AI6" s="75"/>
      <c r="AJ6" s="75"/>
      <c r="AK6" s="75"/>
      <c r="AL6" s="75"/>
      <c r="AO6" s="16"/>
    </row>
    <row r="7" spans="2:41" ht="12.75" customHeight="1" x14ac:dyDescent="0.15">
      <c r="B7" s="22"/>
      <c r="D7" s="29">
        <v>2004</v>
      </c>
      <c r="E7" s="60">
        <f t="shared" ref="E7:E16" si="4">+F7+G7+H7</f>
        <v>439667.83736952086</v>
      </c>
      <c r="F7" s="60">
        <f>+Cálculos_trabajo!H15</f>
        <v>364987.69833799999</v>
      </c>
      <c r="G7" s="60">
        <f>+Cálculos_capital!B14+Cálculos_capital!D14+Cálculos_capital!F14</f>
        <v>41149.094515610908</v>
      </c>
      <c r="H7" s="60">
        <f>+Cálculos_actividad_eco!B14</f>
        <v>33531.044515909962</v>
      </c>
      <c r="I7" s="65"/>
      <c r="J7" s="65">
        <f>+Cálculos_trabajo!CZ15</f>
        <v>42894.904940000022</v>
      </c>
      <c r="K7" s="65">
        <f>+Cálculos_capital!CZ14</f>
        <v>2931.5852640646376</v>
      </c>
      <c r="L7" s="65">
        <f>+Cálculos_capital!CM14</f>
        <v>1662.9728652046365</v>
      </c>
      <c r="M7" s="65">
        <f>+Cálculos_capital!CN14</f>
        <v>1005.1163438600011</v>
      </c>
      <c r="N7" s="65">
        <f>+Cálculos_capital!CO14</f>
        <v>263.49605500000013</v>
      </c>
      <c r="O7" s="65">
        <f>+Cálculos_actividad_eco!BM14</f>
        <v>5769.2150783929483</v>
      </c>
      <c r="P7" s="65"/>
      <c r="Q7" s="65">
        <v>354.02172108001105</v>
      </c>
      <c r="R7" s="72">
        <f t="shared" si="0"/>
        <v>51949.72700353762</v>
      </c>
      <c r="S7" s="74">
        <f t="shared" si="1"/>
        <v>11.815675969010266</v>
      </c>
      <c r="T7" s="65">
        <v>-3647.8042722900045</v>
      </c>
      <c r="U7" s="65">
        <f t="shared" si="2"/>
        <v>48301.922731247614</v>
      </c>
      <c r="V7" s="77">
        <f t="shared" si="3"/>
        <v>10.986003211022242</v>
      </c>
      <c r="W7" s="75"/>
      <c r="X7" s="65">
        <f t="shared" ref="X7:X21" si="5">+U7</f>
        <v>48301.922731247614</v>
      </c>
      <c r="Y7" s="65">
        <v>57585.587</v>
      </c>
      <c r="Z7" s="76">
        <f t="shared" ref="Z7:Z16" si="6">+Y7/X7</f>
        <v>1.1922007188079611</v>
      </c>
      <c r="AA7" s="65">
        <v>9863.2510000000002</v>
      </c>
      <c r="AB7" s="76">
        <f t="shared" ref="AB7:AB16" si="7">+AA7/X7</f>
        <v>0.20419996642533733</v>
      </c>
      <c r="AC7" s="65">
        <f t="shared" ref="AC7:AC21" si="8">+Y7-AA7</f>
        <v>47722.335999999996</v>
      </c>
      <c r="AD7" s="75"/>
      <c r="AE7" s="75"/>
      <c r="AF7" s="75"/>
      <c r="AG7" s="75"/>
      <c r="AH7" s="75"/>
      <c r="AI7" s="75"/>
      <c r="AJ7" s="75"/>
      <c r="AK7" s="75"/>
      <c r="AL7" s="75"/>
      <c r="AO7" s="16"/>
    </row>
    <row r="8" spans="2:41" ht="12.75" customHeight="1" x14ac:dyDescent="0.15">
      <c r="B8" s="22"/>
      <c r="D8" s="29">
        <v>2005</v>
      </c>
      <c r="E8" s="60">
        <f t="shared" si="4"/>
        <v>480813.96447997016</v>
      </c>
      <c r="F8" s="60">
        <f>+Cálculos_trabajo!H16</f>
        <v>395229.18300899997</v>
      </c>
      <c r="G8" s="60">
        <f>+Cálculos_capital!B15+Cálculos_capital!D15+Cálculos_capital!F15</f>
        <v>51584.026485370166</v>
      </c>
      <c r="H8" s="60">
        <f>+Cálculos_actividad_eco!B15</f>
        <v>34000.754985600026</v>
      </c>
      <c r="I8" s="65"/>
      <c r="J8" s="65">
        <f>+Cálculos_trabajo!CZ16</f>
        <v>47749.181890999971</v>
      </c>
      <c r="K8" s="65">
        <f>+Cálculos_capital!CZ15</f>
        <v>3165.7030371370251</v>
      </c>
      <c r="L8" s="65">
        <f>+Cálculos_capital!CM15</f>
        <v>1780.8975796670252</v>
      </c>
      <c r="M8" s="65">
        <f>+Cálculos_capital!CN15</f>
        <v>1063.9902958699997</v>
      </c>
      <c r="N8" s="65">
        <f>+Cálculos_capital!CO15</f>
        <v>320.81516159999995</v>
      </c>
      <c r="O8" s="65">
        <f>+Cálculos_actividad_eco!BM15</f>
        <v>6110.1905896291582</v>
      </c>
      <c r="P8" s="65"/>
      <c r="Q8" s="65">
        <v>391.8552037999907</v>
      </c>
      <c r="R8" s="72">
        <f t="shared" si="0"/>
        <v>57416.930721566147</v>
      </c>
      <c r="S8" s="74">
        <f t="shared" si="1"/>
        <v>11.941610469584859</v>
      </c>
      <c r="T8" s="65">
        <v>-2618.9378931999954</v>
      </c>
      <c r="U8" s="65">
        <f t="shared" si="2"/>
        <v>54797.99282836615</v>
      </c>
      <c r="V8" s="77">
        <f t="shared" si="3"/>
        <v>11.396922068940645</v>
      </c>
      <c r="W8" s="75"/>
      <c r="X8" s="65">
        <f t="shared" si="5"/>
        <v>54797.99282836615</v>
      </c>
      <c r="Y8" s="65">
        <v>65091.243000000002</v>
      </c>
      <c r="Z8" s="76">
        <f t="shared" si="6"/>
        <v>1.1878399123828045</v>
      </c>
      <c r="AA8" s="65">
        <v>10368.638999999999</v>
      </c>
      <c r="AB8" s="76">
        <f t="shared" si="7"/>
        <v>0.18921567131985678</v>
      </c>
      <c r="AC8" s="65">
        <f t="shared" si="8"/>
        <v>54722.604000000007</v>
      </c>
      <c r="AD8" s="75"/>
      <c r="AE8" s="75"/>
      <c r="AF8" s="75"/>
      <c r="AG8" s="75"/>
      <c r="AH8" s="75"/>
      <c r="AI8" s="75"/>
      <c r="AJ8" s="75"/>
      <c r="AK8" s="75"/>
      <c r="AL8" s="75"/>
      <c r="AO8" s="16"/>
    </row>
    <row r="9" spans="2:41" ht="12.75" customHeight="1" x14ac:dyDescent="0.15">
      <c r="B9" s="22"/>
      <c r="D9" s="29">
        <v>2006</v>
      </c>
      <c r="E9" s="60">
        <f t="shared" si="4"/>
        <v>541983.23251671006</v>
      </c>
      <c r="F9" s="60">
        <f>+Cálculos_trabajo!H17</f>
        <v>430428.03700000001</v>
      </c>
      <c r="G9" s="60">
        <f>+Cálculos_capital!B16+Cálculos_capital!D16+Cálculos_capital!F16</f>
        <v>75026.576840090071</v>
      </c>
      <c r="H9" s="60">
        <f>+Cálculos_actividad_eco!B16</f>
        <v>36528.618676619983</v>
      </c>
      <c r="I9" s="65"/>
      <c r="J9" s="65">
        <f>+Cálculos_trabajo!CZ17</f>
        <v>53787.922000000013</v>
      </c>
      <c r="K9" s="65">
        <f>+Cálculos_capital!CZ16</f>
        <v>4070.6581319475108</v>
      </c>
      <c r="L9" s="65">
        <f>+Cálculos_capital!CM16</f>
        <v>2337.5452142175122</v>
      </c>
      <c r="M9" s="65">
        <f>+Cálculos_capital!CN16</f>
        <v>1136.8321157299993</v>
      </c>
      <c r="N9" s="65">
        <f>+Cálculos_capital!CO16</f>
        <v>596.28080199999954</v>
      </c>
      <c r="O9" s="65">
        <f>+Cálculos_actividad_eco!BM16</f>
        <v>6505.8155164712216</v>
      </c>
      <c r="P9" s="65"/>
      <c r="Q9" s="65">
        <v>452.06997116998537</v>
      </c>
      <c r="R9" s="72">
        <f t="shared" si="0"/>
        <v>64816.465619588729</v>
      </c>
      <c r="S9" s="74">
        <f t="shared" si="1"/>
        <v>11.959127465735826</v>
      </c>
      <c r="T9" s="65">
        <v>-180.9292760500079</v>
      </c>
      <c r="U9" s="65">
        <f t="shared" si="2"/>
        <v>64635.536343538719</v>
      </c>
      <c r="V9" s="77">
        <f t="shared" si="3"/>
        <v>11.925744647745336</v>
      </c>
      <c r="W9" s="75"/>
      <c r="X9" s="65">
        <f t="shared" si="5"/>
        <v>64635.536343538719</v>
      </c>
      <c r="Y9" s="65">
        <v>73576.570999999996</v>
      </c>
      <c r="Z9" s="76">
        <f t="shared" si="6"/>
        <v>1.1383300141417496</v>
      </c>
      <c r="AA9" s="65">
        <v>10763.512000000001</v>
      </c>
      <c r="AB9" s="76">
        <f t="shared" si="7"/>
        <v>0.16652622704005726</v>
      </c>
      <c r="AC9" s="65">
        <f t="shared" si="8"/>
        <v>62813.058999999994</v>
      </c>
      <c r="AD9" s="75"/>
      <c r="AE9" s="75"/>
      <c r="AF9" s="75"/>
      <c r="AG9" s="75"/>
      <c r="AH9" s="75"/>
      <c r="AI9" s="75"/>
      <c r="AJ9" s="75"/>
      <c r="AK9" s="75"/>
      <c r="AL9" s="75"/>
      <c r="AO9" s="16"/>
    </row>
    <row r="10" spans="2:41" ht="12.75" customHeight="1" x14ac:dyDescent="0.15">
      <c r="B10" s="22"/>
      <c r="D10" s="29">
        <v>2007</v>
      </c>
      <c r="E10" s="60">
        <f t="shared" si="4"/>
        <v>572392.21458850009</v>
      </c>
      <c r="F10" s="60">
        <f>+Cálculos_trabajo!H18</f>
        <v>464901.28899999999</v>
      </c>
      <c r="G10" s="60">
        <f>+Cálculos_capital!B17+Cálculos_capital!D17+Cálculos_capital!F17</f>
        <v>69353.245962333691</v>
      </c>
      <c r="H10" s="60">
        <f>+Cálculos_actividad_eco!B17</f>
        <v>38137.679626166297</v>
      </c>
      <c r="I10" s="65"/>
      <c r="J10" s="65">
        <f>+Cálculos_trabajo!CZ18</f>
        <v>58137.678799999965</v>
      </c>
      <c r="K10" s="65">
        <f>+Cálculos_capital!CZ17</f>
        <v>6066.605762096704</v>
      </c>
      <c r="L10" s="65">
        <f>+Cálculos_capital!CM17</f>
        <v>3815.8815958346599</v>
      </c>
      <c r="M10" s="65">
        <f>+Cálculos_capital!CN17</f>
        <v>1449.4465866999997</v>
      </c>
      <c r="N10" s="65">
        <f>+Cálculos_capital!CO17</f>
        <v>801.27757956204459</v>
      </c>
      <c r="O10" s="65">
        <f>+Cálculos_actividad_eco!BM17</f>
        <v>6854.3107865435159</v>
      </c>
      <c r="P10" s="65"/>
      <c r="Q10" s="65">
        <v>544.46996498998487</v>
      </c>
      <c r="R10" s="72">
        <f t="shared" si="0"/>
        <v>71603.06531363017</v>
      </c>
      <c r="S10" s="74">
        <f t="shared" si="1"/>
        <v>12.509440815002437</v>
      </c>
      <c r="T10" s="65">
        <v>-3697.6101923800179</v>
      </c>
      <c r="U10" s="65">
        <f t="shared" si="2"/>
        <v>67905.455121250154</v>
      </c>
      <c r="V10" s="77">
        <f t="shared" si="3"/>
        <v>11.863448417108231</v>
      </c>
      <c r="W10" s="75"/>
      <c r="X10" s="65">
        <f t="shared" si="5"/>
        <v>67905.455121250154</v>
      </c>
      <c r="Y10" s="65">
        <v>84310.684999999998</v>
      </c>
      <c r="Z10" s="76">
        <f t="shared" si="6"/>
        <v>1.2415892780551594</v>
      </c>
      <c r="AA10" s="65">
        <v>11696.419</v>
      </c>
      <c r="AB10" s="76">
        <f t="shared" si="7"/>
        <v>0.17224564623144326</v>
      </c>
      <c r="AC10" s="65">
        <f t="shared" si="8"/>
        <v>72614.266000000003</v>
      </c>
      <c r="AD10" s="75"/>
      <c r="AE10" s="75"/>
      <c r="AF10" s="75"/>
      <c r="AG10" s="75"/>
      <c r="AH10" s="75"/>
      <c r="AI10" s="75"/>
      <c r="AJ10" s="75"/>
      <c r="AK10" s="75"/>
      <c r="AL10" s="75"/>
      <c r="AO10" s="16"/>
    </row>
    <row r="11" spans="2:41" ht="12.75" customHeight="1" x14ac:dyDescent="0.15">
      <c r="B11" s="22"/>
      <c r="D11" s="29">
        <v>2008</v>
      </c>
      <c r="E11" s="60">
        <f t="shared" si="4"/>
        <v>596653.61257358489</v>
      </c>
      <c r="F11" s="60">
        <f>+Cálculos_trabajo!H19</f>
        <v>497941.09700000001</v>
      </c>
      <c r="G11" s="60">
        <f>+Cálculos_capital!B18+Cálculos_capital!D18+Cálculos_capital!F18</f>
        <v>63982.352780140573</v>
      </c>
      <c r="H11" s="60">
        <f>+Cálculos_actividad_eco!B18</f>
        <v>34730.162793444368</v>
      </c>
      <c r="I11" s="65"/>
      <c r="J11" s="65">
        <f>+Cálculos_trabajo!CZ19</f>
        <v>58587.814110799969</v>
      </c>
      <c r="K11" s="65">
        <f>+Cálculos_capital!CZ18</f>
        <v>7483.2767965583353</v>
      </c>
      <c r="L11" s="65">
        <f>+Cálculos_capital!CM18</f>
        <v>4952.821457308336</v>
      </c>
      <c r="M11" s="65">
        <f>+Cálculos_capital!CN18</f>
        <v>1511.81761355</v>
      </c>
      <c r="N11" s="65">
        <f>+Cálculos_capital!CO18</f>
        <v>1018.6377256999999</v>
      </c>
      <c r="O11" s="65">
        <f>+Cálculos_actividad_eco!BM18</f>
        <v>6054.4301821300596</v>
      </c>
      <c r="P11" s="65"/>
      <c r="Q11" s="65">
        <v>565.43953663000138</v>
      </c>
      <c r="R11" s="72">
        <f t="shared" si="0"/>
        <v>72690.960626118365</v>
      </c>
      <c r="S11" s="74">
        <f t="shared" si="1"/>
        <v>12.183109109584658</v>
      </c>
      <c r="T11" s="65">
        <v>-7878.19717029</v>
      </c>
      <c r="U11" s="65">
        <f t="shared" si="2"/>
        <v>64812.763455828368</v>
      </c>
      <c r="V11" s="77">
        <f t="shared" si="3"/>
        <v>10.862711980619249</v>
      </c>
      <c r="W11" s="75"/>
      <c r="X11" s="65">
        <f t="shared" si="5"/>
        <v>64812.763455828368</v>
      </c>
      <c r="Y11" s="65">
        <v>85158.758000000016</v>
      </c>
      <c r="Z11" s="76">
        <f t="shared" si="6"/>
        <v>1.3139195655194982</v>
      </c>
      <c r="AA11" s="65">
        <v>13817.614000000001</v>
      </c>
      <c r="AB11" s="76">
        <f t="shared" si="7"/>
        <v>0.21319279202493926</v>
      </c>
      <c r="AC11" s="65">
        <f t="shared" si="8"/>
        <v>71341.144000000015</v>
      </c>
      <c r="AD11" s="75"/>
      <c r="AE11" s="75"/>
      <c r="AF11" s="75"/>
      <c r="AG11" s="75"/>
      <c r="AH11" s="75"/>
      <c r="AI11" s="75"/>
      <c r="AJ11" s="75"/>
      <c r="AK11" s="75"/>
      <c r="AL11" s="75"/>
      <c r="AO11" s="16"/>
    </row>
    <row r="12" spans="2:41" ht="12.75" customHeight="1" x14ac:dyDescent="0.15">
      <c r="B12" s="22"/>
      <c r="C12" s="16"/>
      <c r="D12" s="29">
        <v>2009</v>
      </c>
      <c r="E12" s="60">
        <f t="shared" si="4"/>
        <v>586253.48847572156</v>
      </c>
      <c r="F12" s="60">
        <f>+Cálculos_trabajo!H20</f>
        <v>496136.05200000003</v>
      </c>
      <c r="G12" s="60">
        <f>+Cálculos_capital!B19+Cálculos_capital!D19+Cálculos_capital!F19</f>
        <v>59316.186311701538</v>
      </c>
      <c r="H12" s="60">
        <f>+Cálculos_actividad_eco!B19</f>
        <v>30801.250164019999</v>
      </c>
      <c r="I12" s="65"/>
      <c r="J12" s="65">
        <f>+Cálculos_trabajo!CZ20</f>
        <v>57776.604502229959</v>
      </c>
      <c r="K12" s="65">
        <f>+Cálculos_capital!CZ19</f>
        <v>6861.2271595615957</v>
      </c>
      <c r="L12" s="65">
        <f>+Cálculos_capital!CM19</f>
        <v>4893.2729366715967</v>
      </c>
      <c r="M12" s="65">
        <f>+Cálculos_capital!CN19</f>
        <v>1434.0530648899992</v>
      </c>
      <c r="N12" s="65">
        <f>+Cálculos_capital!CO19</f>
        <v>533.90115800000001</v>
      </c>
      <c r="O12" s="65">
        <f>+Cálculos_actividad_eco!BM19</f>
        <v>5390.0668455100249</v>
      </c>
      <c r="P12" s="65"/>
      <c r="Q12" s="65">
        <v>533</v>
      </c>
      <c r="R12" s="72">
        <f t="shared" si="0"/>
        <v>70560.898507301579</v>
      </c>
      <c r="S12" s="74">
        <f t="shared" si="1"/>
        <v>12.035902539490596</v>
      </c>
      <c r="T12" s="65">
        <v>-7728.7846498099998</v>
      </c>
      <c r="U12" s="65">
        <f t="shared" si="2"/>
        <v>62832.113857491582</v>
      </c>
      <c r="V12" s="77">
        <f t="shared" si="3"/>
        <v>10.717567586822749</v>
      </c>
      <c r="W12" s="75"/>
      <c r="X12" s="65">
        <f t="shared" si="5"/>
        <v>62832.113857491582</v>
      </c>
      <c r="Y12" s="65">
        <v>78857.831999999995</v>
      </c>
      <c r="Z12" s="76">
        <f t="shared" si="6"/>
        <v>1.2550561672786635</v>
      </c>
      <c r="AA12" s="65">
        <v>15000.907999999999</v>
      </c>
      <c r="AB12" s="76">
        <f t="shared" si="7"/>
        <v>0.23874587498398187</v>
      </c>
      <c r="AC12" s="65">
        <f>+Y12-AA12</f>
        <v>63856.923999999999</v>
      </c>
      <c r="AD12" s="75"/>
      <c r="AE12" s="75"/>
      <c r="AF12" s="75"/>
      <c r="AG12" s="75"/>
      <c r="AH12" s="75"/>
      <c r="AI12" s="75"/>
      <c r="AJ12" s="75"/>
      <c r="AK12" s="75"/>
      <c r="AL12" s="75"/>
      <c r="AO12" s="16"/>
    </row>
    <row r="13" spans="2:41" ht="12.75" customHeight="1" x14ac:dyDescent="0.15">
      <c r="B13" s="22"/>
      <c r="C13" s="16"/>
      <c r="D13" s="29">
        <v>2010</v>
      </c>
      <c r="E13" s="60">
        <f t="shared" si="4"/>
        <v>573851.66665531648</v>
      </c>
      <c r="F13" s="60">
        <f>+Cálculos_trabajo!H21</f>
        <v>493868.01000000013</v>
      </c>
      <c r="G13" s="60">
        <f>+Cálculos_capital!B20+Cálculos_capital!D20+Cálculos_capital!F20</f>
        <v>49701.497562656434</v>
      </c>
      <c r="H13" s="60">
        <f>+Cálculos_actividad_eco!B20</f>
        <v>30282.159092659924</v>
      </c>
      <c r="I13" s="65"/>
      <c r="J13" s="65">
        <f>+Cálculos_trabajo!CZ21</f>
        <v>61503.635260090006</v>
      </c>
      <c r="K13" s="65">
        <f>+Cálculos_capital!CZ20</f>
        <v>5812.0350814770836</v>
      </c>
      <c r="L13" s="65">
        <f>+Cálculos_capital!CM20</f>
        <v>3957.2234076970826</v>
      </c>
      <c r="M13" s="65">
        <f>+Cálculos_capital!CN20</f>
        <v>1450.1401287800004</v>
      </c>
      <c r="N13" s="65">
        <f>+Cálculos_capital!CO20</f>
        <v>404.67154499999998</v>
      </c>
      <c r="O13" s="65">
        <f>+Cálculos_actividad_eco!BM20</f>
        <v>5440.0901992399768</v>
      </c>
      <c r="P13" s="65"/>
      <c r="Q13" s="65">
        <v>543</v>
      </c>
      <c r="R13" s="72">
        <f t="shared" si="0"/>
        <v>73298.760540807067</v>
      </c>
      <c r="S13" s="74">
        <f t="shared" si="1"/>
        <v>12.773119745042738</v>
      </c>
      <c r="T13" s="65">
        <v>-6388.1313950199947</v>
      </c>
      <c r="U13" s="65">
        <f t="shared" si="2"/>
        <v>66910.629145787068</v>
      </c>
      <c r="V13" s="77">
        <f t="shared" si="3"/>
        <v>11.659917193544874</v>
      </c>
      <c r="W13" s="75"/>
      <c r="X13" s="65">
        <f t="shared" si="5"/>
        <v>66910.629145787068</v>
      </c>
      <c r="Y13" s="65">
        <v>81101.91</v>
      </c>
      <c r="Z13" s="76">
        <f t="shared" si="6"/>
        <v>1.2120930715401361</v>
      </c>
      <c r="AA13" s="65">
        <v>14124.851999999999</v>
      </c>
      <c r="AB13" s="76">
        <f t="shared" si="7"/>
        <v>0.21110027181517468</v>
      </c>
      <c r="AC13" s="65">
        <f t="shared" si="8"/>
        <v>66977.058000000005</v>
      </c>
      <c r="AD13" s="75"/>
      <c r="AE13" s="75"/>
      <c r="AF13" s="75"/>
      <c r="AG13" s="75"/>
      <c r="AH13" s="75"/>
      <c r="AI13" s="75"/>
      <c r="AJ13" s="75"/>
      <c r="AK13" s="75"/>
      <c r="AL13" s="75"/>
      <c r="AO13" s="16"/>
    </row>
    <row r="14" spans="2:41" ht="12.75" customHeight="1" x14ac:dyDescent="0.15">
      <c r="B14" s="22"/>
      <c r="C14" s="16"/>
      <c r="D14" s="29">
        <v>2011</v>
      </c>
      <c r="E14" s="60">
        <f t="shared" si="4"/>
        <v>576212.40423696954</v>
      </c>
      <c r="F14" s="60">
        <f>+Cálculos_trabajo!H22</f>
        <v>494638.12600000005</v>
      </c>
      <c r="G14" s="60">
        <f>+Cálculos_capital!B21+Cálculos_capital!D21+Cálculos_capital!F21</f>
        <v>52567.30770400964</v>
      </c>
      <c r="H14" s="60">
        <f>+Cálculos_actividad_eco!B21</f>
        <v>29006.970532959851</v>
      </c>
      <c r="I14" s="65"/>
      <c r="J14" s="65">
        <f>+Cálculos_trabajo!CZ22</f>
        <v>61850.216485189972</v>
      </c>
      <c r="K14" s="65">
        <f>+Cálculos_capital!CZ21</f>
        <v>6346.704277154302</v>
      </c>
      <c r="L14" s="65">
        <f>+Cálculos_capital!CM21</f>
        <v>4590.3017112943025</v>
      </c>
      <c r="M14" s="65">
        <f>+Cálculos_capital!CN21</f>
        <v>1404.1782297599993</v>
      </c>
      <c r="N14" s="65">
        <f>+Cálculos_capital!CO21</f>
        <v>352.2243360999999</v>
      </c>
      <c r="O14" s="65">
        <f>+Cálculos_actividad_eco!BM21</f>
        <v>5131.2806620200463</v>
      </c>
      <c r="P14" s="65"/>
      <c r="Q14" s="65">
        <v>562</v>
      </c>
      <c r="R14" s="72">
        <f t="shared" si="0"/>
        <v>73890.201424364321</v>
      </c>
      <c r="S14" s="74">
        <f t="shared" si="1"/>
        <v>12.823431234912587</v>
      </c>
      <c r="T14" s="65">
        <v>-5506.2707285399993</v>
      </c>
      <c r="U14" s="65">
        <f t="shared" si="2"/>
        <v>68383.930695824325</v>
      </c>
      <c r="V14" s="77">
        <f t="shared" si="3"/>
        <v>11.867833839221062</v>
      </c>
      <c r="W14" s="75"/>
      <c r="X14" s="65">
        <f t="shared" si="5"/>
        <v>68383.930695824325</v>
      </c>
      <c r="Y14" s="65">
        <v>82266.412000000011</v>
      </c>
      <c r="Z14" s="76">
        <f t="shared" si="6"/>
        <v>1.2030079459153316</v>
      </c>
      <c r="AA14" s="65">
        <v>12463.093000000001</v>
      </c>
      <c r="AB14" s="76">
        <f t="shared" si="7"/>
        <v>0.18225177864426306</v>
      </c>
      <c r="AC14" s="65">
        <f t="shared" si="8"/>
        <v>69803.319000000018</v>
      </c>
      <c r="AD14" s="75"/>
      <c r="AE14" s="75"/>
      <c r="AF14" s="75"/>
      <c r="AG14" s="75"/>
      <c r="AH14" s="75"/>
      <c r="AI14" s="75"/>
      <c r="AJ14" s="75"/>
      <c r="AK14" s="75"/>
      <c r="AL14" s="75"/>
      <c r="AO14" s="16"/>
    </row>
    <row r="15" spans="2:41" ht="12.75" customHeight="1" x14ac:dyDescent="0.15">
      <c r="B15" s="22"/>
      <c r="D15" s="29">
        <v>2012</v>
      </c>
      <c r="E15" s="60">
        <f t="shared" si="4"/>
        <v>551052.1760023525</v>
      </c>
      <c r="F15" s="60">
        <f>+Cálculos_trabajo!H23</f>
        <v>475661.41</v>
      </c>
      <c r="G15" s="60">
        <f>+Cálculos_capital!B22+Cálculos_capital!D22+Cálculos_capital!F22</f>
        <v>47348.369029850699</v>
      </c>
      <c r="H15" s="60">
        <f>+Cálculos_actividad_eco!B22</f>
        <v>28042.396972501825</v>
      </c>
      <c r="I15" s="65"/>
      <c r="J15" s="65">
        <f>+Cálculos_trabajo!CZ23</f>
        <v>61519.586581900032</v>
      </c>
      <c r="K15" s="65">
        <f>+Cálculos_capital!CZ22</f>
        <v>6447.4828138021485</v>
      </c>
      <c r="L15" s="65">
        <f>+Cálculos_capital!CM22</f>
        <v>4639.9808138021481</v>
      </c>
      <c r="M15" s="65">
        <f>+Cálculos_capital!CN22</f>
        <v>1450.421</v>
      </c>
      <c r="N15" s="65">
        <f>+Cálculos_capital!CO22</f>
        <v>357.08099999999996</v>
      </c>
      <c r="O15" s="65">
        <f>+Cálculos_actividad_eco!BM22</f>
        <v>5182.2624180999965</v>
      </c>
      <c r="P15" s="65"/>
      <c r="Q15" s="65">
        <v>596</v>
      </c>
      <c r="R15" s="72">
        <f>+J15+K15+O15+P15+Q15</f>
        <v>73745.331813802186</v>
      </c>
      <c r="S15" s="74">
        <f t="shared" si="1"/>
        <v>13.38264052395056</v>
      </c>
      <c r="T15" s="65">
        <v>-4706.4437552199997</v>
      </c>
      <c r="U15" s="65">
        <f t="shared" si="2"/>
        <v>69038.88805858219</v>
      </c>
      <c r="V15" s="77">
        <f t="shared" si="3"/>
        <v>12.528557378981741</v>
      </c>
      <c r="W15" s="75"/>
      <c r="X15" s="65">
        <f t="shared" si="5"/>
        <v>69038.88805858219</v>
      </c>
      <c r="Y15" s="65">
        <v>82337.521000000008</v>
      </c>
      <c r="Z15" s="76">
        <f t="shared" si="6"/>
        <v>1.1926252481084778</v>
      </c>
      <c r="AA15" s="65">
        <v>11718.918000000001</v>
      </c>
      <c r="AB15" s="76">
        <f t="shared" si="7"/>
        <v>0.1697437245810802</v>
      </c>
      <c r="AC15" s="65">
        <f t="shared" si="8"/>
        <v>70618.603000000003</v>
      </c>
      <c r="AD15" s="75"/>
      <c r="AE15" s="75"/>
      <c r="AF15" s="75"/>
      <c r="AG15" s="75"/>
      <c r="AH15" s="75"/>
      <c r="AI15" s="75"/>
      <c r="AJ15" s="75"/>
      <c r="AK15" s="75"/>
      <c r="AL15" s="75"/>
      <c r="AO15" s="16"/>
    </row>
    <row r="16" spans="2:41" ht="12.75" customHeight="1" x14ac:dyDescent="0.15">
      <c r="B16" s="22"/>
      <c r="D16" s="29">
        <v>2013</v>
      </c>
      <c r="E16" s="60">
        <f t="shared" si="4"/>
        <v>543121.7737929353</v>
      </c>
      <c r="F16" s="60">
        <f>+Cálculos_trabajo!H24</f>
        <v>470187.10700000002</v>
      </c>
      <c r="G16" s="60">
        <f>+Cálculos_capital!B23+Cálculos_capital!D23+Cálculos_capital!F23</f>
        <v>45435.890194770604</v>
      </c>
      <c r="H16" s="60">
        <f>+Cálculos_actividad_eco!B23</f>
        <v>27498.776598164681</v>
      </c>
      <c r="I16" s="65"/>
      <c r="J16" s="65">
        <f>+Cálculos_trabajo!CZ24</f>
        <v>61292.415399999954</v>
      </c>
      <c r="K16" s="65">
        <f>+Cálculos_capital!CZ23</f>
        <v>5912.6920553814025</v>
      </c>
      <c r="L16" s="65">
        <f>+Cálculos_capital!CM23</f>
        <v>4281.6220553814019</v>
      </c>
      <c r="M16" s="65">
        <f>+Cálculos_capital!CN23</f>
        <v>1335.3090000000009</v>
      </c>
      <c r="N16" s="65">
        <f>+Cálculos_capital!CO23</f>
        <v>295.76099999999985</v>
      </c>
      <c r="O16" s="65">
        <f>+Cálculos_actividad_eco!BM23</f>
        <v>5561.9345999999978</v>
      </c>
      <c r="P16" s="65">
        <v>384</v>
      </c>
      <c r="Q16" s="65">
        <f>615</f>
        <v>615</v>
      </c>
      <c r="R16" s="72">
        <f t="shared" si="0"/>
        <v>73766.042055381346</v>
      </c>
      <c r="S16" s="74">
        <f t="shared" si="1"/>
        <v>13.581860572488221</v>
      </c>
      <c r="T16" s="65">
        <v>-4426.6993234037473</v>
      </c>
      <c r="U16" s="65">
        <f t="shared" si="2"/>
        <v>69339.342731977595</v>
      </c>
      <c r="V16" s="77">
        <f t="shared" si="3"/>
        <v>12.76681327793961</v>
      </c>
      <c r="W16" s="75"/>
      <c r="X16" s="65">
        <f t="shared" si="5"/>
        <v>69339.342731977595</v>
      </c>
      <c r="Y16" s="65">
        <v>82170.760999999999</v>
      </c>
      <c r="Z16" s="76">
        <f t="shared" si="6"/>
        <v>1.1850524934685438</v>
      </c>
      <c r="AA16" s="65">
        <v>12219.286</v>
      </c>
      <c r="AB16" s="76">
        <f t="shared" si="7"/>
        <v>0.17622442784368603</v>
      </c>
      <c r="AC16" s="65">
        <f>+Y16-AA16</f>
        <v>69951.475000000006</v>
      </c>
      <c r="AD16" s="75"/>
      <c r="AE16" s="75"/>
      <c r="AF16" s="75"/>
      <c r="AG16" s="75"/>
      <c r="AH16" s="75"/>
      <c r="AI16" s="75"/>
      <c r="AJ16" s="75"/>
      <c r="AK16" s="75"/>
      <c r="AL16" s="75"/>
      <c r="AO16" s="16"/>
    </row>
    <row r="17" spans="2:38" ht="12.75" customHeight="1" x14ac:dyDescent="0.15">
      <c r="B17" s="22"/>
      <c r="D17" s="29">
        <v>2014</v>
      </c>
      <c r="E17" s="78">
        <f>+R17/S17*100</f>
        <v>576712.04799899133</v>
      </c>
      <c r="F17" s="29"/>
      <c r="G17" s="29"/>
      <c r="H17" s="29"/>
      <c r="I17" s="66"/>
      <c r="J17" s="80">
        <f>+Cálculos_trabajo!CZ25</f>
        <v>65978.672273828386</v>
      </c>
      <c r="K17" s="80">
        <f>+Cálculos_capital!CZ24</f>
        <v>5862.4949190834368</v>
      </c>
      <c r="L17" s="80">
        <f>+Cálculos_capital!CM24</f>
        <v>4065.0173632647657</v>
      </c>
      <c r="M17" s="80">
        <f>+Cálculos_capital!CN24</f>
        <v>1339.7201644073839</v>
      </c>
      <c r="N17" s="80">
        <f>+Cálculos_capital!CO24</f>
        <v>457.75739141128741</v>
      </c>
      <c r="O17" s="80">
        <f>+Cálculos_actividad_eco!BM24</f>
        <v>5533.2590710525237</v>
      </c>
      <c r="P17" s="110">
        <f t="shared" ref="P17:Q21" si="9">+AVERAGE(P12:P16)</f>
        <v>384</v>
      </c>
      <c r="Q17" s="110">
        <f t="shared" si="9"/>
        <v>569.79999999999995</v>
      </c>
      <c r="R17" s="83">
        <f>+J17+K17+O17+P17+Q17</f>
        <v>78328.226263964345</v>
      </c>
      <c r="S17" s="111">
        <f>+Resultados_IRPF!C6</f>
        <v>13.581860572488221</v>
      </c>
      <c r="T17" s="80">
        <f>+U17-R17</f>
        <v>-4700.4759445516538</v>
      </c>
      <c r="U17" s="80">
        <f>+E17*V17/100</f>
        <v>73627.750319412691</v>
      </c>
      <c r="V17" s="111">
        <f>+Resultados_IRPF!D6</f>
        <v>12.76681327793961</v>
      </c>
      <c r="W17" s="66"/>
      <c r="X17" s="80">
        <f t="shared" si="5"/>
        <v>73627.750319412691</v>
      </c>
      <c r="Y17" s="80">
        <f>+X17*Z17</f>
        <v>87879.277256993868</v>
      </c>
      <c r="Z17" s="112">
        <f>+Resultados_IRPF!E6</f>
        <v>1.1935618958307845</v>
      </c>
      <c r="AA17" s="80">
        <f>+X17*AB17</f>
        <v>12963.881732829288</v>
      </c>
      <c r="AB17" s="112">
        <f>+Resultados_IRPF!F6</f>
        <v>0.17607331035634308</v>
      </c>
      <c r="AC17" s="80">
        <f t="shared" si="8"/>
        <v>74915.395524164574</v>
      </c>
      <c r="AD17" s="75"/>
      <c r="AE17" s="66"/>
      <c r="AF17" s="66"/>
      <c r="AG17" s="66"/>
      <c r="AH17" s="66"/>
      <c r="AI17" s="66"/>
      <c r="AJ17" s="66"/>
      <c r="AK17" s="66"/>
      <c r="AL17" s="66"/>
    </row>
    <row r="18" spans="2:38" ht="12.75" customHeight="1" x14ac:dyDescent="0.15">
      <c r="B18" s="22"/>
      <c r="D18" s="29">
        <v>2015</v>
      </c>
      <c r="E18" s="78">
        <f>+R18/S18*100</f>
        <v>592961.52074840746</v>
      </c>
      <c r="F18" s="29"/>
      <c r="G18" s="29"/>
      <c r="H18" s="29"/>
      <c r="I18" s="66"/>
      <c r="J18" s="80">
        <f>+Cálculos_trabajo!CZ26</f>
        <v>67748.111464586153</v>
      </c>
      <c r="K18" s="80">
        <f>+Cálculos_capital!CZ25</f>
        <v>6244.9068130747382</v>
      </c>
      <c r="L18" s="80">
        <f>+Cálculos_capital!CM25</f>
        <v>4015.1395959660176</v>
      </c>
      <c r="M18" s="80">
        <f>+Cálculos_capital!CN25</f>
        <v>1563.2485062575804</v>
      </c>
      <c r="N18" s="80">
        <f>+Cálculos_capital!CO25</f>
        <v>666.51871085113976</v>
      </c>
      <c r="O18" s="80">
        <f>+Cálculos_actividad_eco!BM25</f>
        <v>5581.028718893629</v>
      </c>
      <c r="P18" s="110">
        <f t="shared" si="9"/>
        <v>384</v>
      </c>
      <c r="Q18" s="110">
        <f t="shared" si="9"/>
        <v>577.16000000000008</v>
      </c>
      <c r="R18" s="83">
        <f t="shared" si="0"/>
        <v>80535.206996554523</v>
      </c>
      <c r="S18" s="111">
        <f>+Resultados_IRPF!C7</f>
        <v>13.581860572488221</v>
      </c>
      <c r="T18" s="80">
        <f t="shared" ref="T18:T21" si="10">+U18-R18</f>
        <v>-4832.9168325742066</v>
      </c>
      <c r="U18" s="80">
        <f>+E18*V18/100</f>
        <v>75702.290163980317</v>
      </c>
      <c r="V18" s="111">
        <f>+Resultados_IRPF!D7</f>
        <v>12.76681327793961</v>
      </c>
      <c r="W18" s="66"/>
      <c r="X18" s="80">
        <f t="shared" si="5"/>
        <v>75702.290163980317</v>
      </c>
      <c r="Y18" s="80">
        <f>+X18*Z18</f>
        <v>90355.368966852504</v>
      </c>
      <c r="Z18" s="112">
        <f>+Resultados_IRPF!E7</f>
        <v>1.1935618958307845</v>
      </c>
      <c r="AA18" s="80">
        <f t="shared" ref="AA18:AA21" si="11">+X18*AB18</f>
        <v>13329.152830728444</v>
      </c>
      <c r="AB18" s="112">
        <f>+Resultados_IRPF!F7</f>
        <v>0.17607331035634308</v>
      </c>
      <c r="AC18" s="80">
        <f t="shared" si="8"/>
        <v>77026.216136124058</v>
      </c>
      <c r="AD18" s="75"/>
      <c r="AE18" s="66"/>
      <c r="AF18" s="66"/>
      <c r="AG18" s="66"/>
      <c r="AH18" s="66"/>
      <c r="AI18" s="66"/>
      <c r="AJ18" s="66"/>
      <c r="AK18" s="66"/>
      <c r="AL18" s="66"/>
    </row>
    <row r="19" spans="2:38" ht="12.75" customHeight="1" x14ac:dyDescent="0.15">
      <c r="B19" s="22"/>
      <c r="D19" s="29">
        <v>2016</v>
      </c>
      <c r="E19" s="78">
        <f t="shared" ref="E19:E21" si="12">+R19/S19*100</f>
        <v>605147.59767720709</v>
      </c>
      <c r="F19" s="29"/>
      <c r="G19" s="29"/>
      <c r="H19" s="79"/>
      <c r="I19" s="66"/>
      <c r="J19" s="80">
        <f>+Cálculos_trabajo!CZ27</f>
        <v>69308.423421916319</v>
      </c>
      <c r="K19" s="80">
        <f>+Cálculos_capital!CZ26</f>
        <v>6301.6073010108821</v>
      </c>
      <c r="L19" s="80">
        <f>+Cálculos_capital!CM26</f>
        <v>3950.3110360569567</v>
      </c>
      <c r="M19" s="80">
        <f>+Cálculos_capital!CN26</f>
        <v>1646.9060013132905</v>
      </c>
      <c r="N19" s="80">
        <f>+Cálculos_capital!CO26</f>
        <v>704.39026364063432</v>
      </c>
      <c r="O19" s="80">
        <f>+Cálculos_actividad_eco!BM26</f>
        <v>5612.2802513530396</v>
      </c>
      <c r="P19" s="110">
        <f t="shared" si="9"/>
        <v>384</v>
      </c>
      <c r="Q19" s="110">
        <f t="shared" si="9"/>
        <v>583.99199999999996</v>
      </c>
      <c r="R19" s="83">
        <f t="shared" si="0"/>
        <v>82190.302974280232</v>
      </c>
      <c r="S19" s="111">
        <f>+Resultados_IRPF!C8</f>
        <v>13.581860572488221</v>
      </c>
      <c r="T19" s="80">
        <f t="shared" si="10"/>
        <v>-4932.2391228939814</v>
      </c>
      <c r="U19" s="80">
        <f>+E19*V19/100</f>
        <v>77258.06385138625</v>
      </c>
      <c r="V19" s="111">
        <f>+Resultados_IRPF!D8</f>
        <v>12.76681327793961</v>
      </c>
      <c r="W19" s="66"/>
      <c r="X19" s="80">
        <f t="shared" si="5"/>
        <v>77258.06385138625</v>
      </c>
      <c r="Y19" s="80">
        <f>+X19*Z19</f>
        <v>92212.281158676371</v>
      </c>
      <c r="Z19" s="112">
        <f>+Resultados_IRPF!E8</f>
        <v>1.1935618958307845</v>
      </c>
      <c r="AA19" s="80">
        <f t="shared" si="11"/>
        <v>13603.083054035302</v>
      </c>
      <c r="AB19" s="112">
        <f>+Resultados_IRPF!F8</f>
        <v>0.17607331035634308</v>
      </c>
      <c r="AC19" s="80">
        <f t="shared" si="8"/>
        <v>78609.198104641066</v>
      </c>
      <c r="AD19" s="75"/>
      <c r="AE19" s="66"/>
      <c r="AF19" s="66"/>
      <c r="AG19" s="66"/>
      <c r="AH19" s="66"/>
      <c r="AI19" s="66"/>
      <c r="AJ19" s="66"/>
      <c r="AK19" s="66"/>
      <c r="AL19" s="66"/>
    </row>
    <row r="20" spans="2:38" ht="12.75" customHeight="1" x14ac:dyDescent="0.15">
      <c r="B20" s="22"/>
      <c r="D20" s="29">
        <v>2017</v>
      </c>
      <c r="E20" s="78">
        <f t="shared" si="12"/>
        <v>616476.13082737196</v>
      </c>
      <c r="F20" s="29"/>
      <c r="G20" s="29"/>
      <c r="H20" s="29"/>
      <c r="I20" s="66"/>
      <c r="J20" s="80">
        <f>+Cálculos_trabajo!CZ28</f>
        <v>70819.834225209852</v>
      </c>
      <c r="K20" s="80">
        <f>+Cálculos_capital!CZ27</f>
        <v>6312.1844883926169</v>
      </c>
      <c r="L20" s="80">
        <f>+Cálculos_capital!CM27</f>
        <v>3906.1388630230645</v>
      </c>
      <c r="M20" s="80">
        <f>+Cálculos_capital!CN27</f>
        <v>1681.7175871963173</v>
      </c>
      <c r="N20" s="80">
        <f>+Cálculos_capital!CO27</f>
        <v>724.32803817323486</v>
      </c>
      <c r="O20" s="80">
        <f>+Cálculos_actividad_eco!BM27</f>
        <v>5624.5194380412622</v>
      </c>
      <c r="P20" s="110">
        <f t="shared" si="9"/>
        <v>384</v>
      </c>
      <c r="Q20" s="110">
        <f t="shared" si="9"/>
        <v>588.3904</v>
      </c>
      <c r="R20" s="83">
        <f t="shared" si="0"/>
        <v>83728.928551643738</v>
      </c>
      <c r="S20" s="111">
        <f>+Resultados_IRPF!C9</f>
        <v>13.581860572488221</v>
      </c>
      <c r="T20" s="80">
        <f t="shared" si="10"/>
        <v>-5024.5720258464571</v>
      </c>
      <c r="U20" s="80">
        <f>+E20*V20/100</f>
        <v>78704.35652579728</v>
      </c>
      <c r="V20" s="111">
        <f>+Resultados_IRPF!D9</f>
        <v>12.76681327793961</v>
      </c>
      <c r="W20" s="66"/>
      <c r="X20" s="80">
        <f t="shared" si="5"/>
        <v>78704.35652579728</v>
      </c>
      <c r="Y20" s="80">
        <f t="shared" ref="Y20:Y21" si="13">+X20*Z20</f>
        <v>93938.520985072581</v>
      </c>
      <c r="Z20" s="112">
        <f>+Resultados_IRPF!E9</f>
        <v>1.1935618958307845</v>
      </c>
      <c r="AA20" s="80">
        <f t="shared" si="11"/>
        <v>13857.73659296298</v>
      </c>
      <c r="AB20" s="112">
        <f>+Resultados_IRPF!F9</f>
        <v>0.17607331035634308</v>
      </c>
      <c r="AC20" s="80">
        <f t="shared" si="8"/>
        <v>80080.784392109606</v>
      </c>
      <c r="AD20" s="75"/>
      <c r="AE20" s="66"/>
      <c r="AF20" s="66"/>
      <c r="AG20" s="66"/>
      <c r="AH20" s="66"/>
      <c r="AI20" s="66"/>
      <c r="AJ20" s="66"/>
      <c r="AK20" s="66"/>
      <c r="AL20" s="66"/>
    </row>
    <row r="21" spans="2:38" ht="12.75" customHeight="1" x14ac:dyDescent="0.15">
      <c r="B21" s="22"/>
      <c r="D21" s="29">
        <v>2018</v>
      </c>
      <c r="E21" s="78">
        <f t="shared" si="12"/>
        <v>626780.82627574541</v>
      </c>
      <c r="F21" s="29"/>
      <c r="G21" s="29"/>
      <c r="H21" s="29"/>
      <c r="I21" s="66"/>
      <c r="J21" s="80">
        <f>+Cálculos_trabajo!CZ29</f>
        <v>72228.75231116575</v>
      </c>
      <c r="K21" s="80">
        <f>+Cálculos_capital!CZ28</f>
        <v>6314.5074349541028</v>
      </c>
      <c r="L21" s="80">
        <f>+Cálculos_capital!CM28</f>
        <v>3887.5576563235663</v>
      </c>
      <c r="M21" s="80">
        <f>+Cálculos_capital!CN28</f>
        <v>1697.8803108200614</v>
      </c>
      <c r="N21" s="80">
        <f>+Cálculos_capital!CO28</f>
        <v>729.0694678104752</v>
      </c>
      <c r="O21" s="80">
        <f>+Cálculos_actividad_eco!BM28</f>
        <v>5614.3696937415016</v>
      </c>
      <c r="P21" s="110">
        <f t="shared" si="9"/>
        <v>384</v>
      </c>
      <c r="Q21" s="110">
        <f t="shared" si="9"/>
        <v>586.86848000000009</v>
      </c>
      <c r="R21" s="83">
        <f t="shared" si="0"/>
        <v>85128.497919861358</v>
      </c>
      <c r="S21" s="111">
        <f>+Resultados_IRPF!C10</f>
        <v>13.581860572488221</v>
      </c>
      <c r="T21" s="80">
        <f t="shared" si="10"/>
        <v>-5108.5601673099009</v>
      </c>
      <c r="U21" s="80">
        <f>+E21*V21/100</f>
        <v>80019.937752551457</v>
      </c>
      <c r="V21" s="111">
        <f>+Resultados_IRPF!D10</f>
        <v>12.76681327793961</v>
      </c>
      <c r="W21" s="66"/>
      <c r="X21" s="80">
        <f t="shared" si="5"/>
        <v>80019.937752551457</v>
      </c>
      <c r="Y21" s="82">
        <f t="shared" si="13"/>
        <v>95508.748608196693</v>
      </c>
      <c r="Z21" s="112">
        <f>+Resultados_IRPF!E10</f>
        <v>1.1935618958307845</v>
      </c>
      <c r="AA21" s="80">
        <f t="shared" si="11"/>
        <v>14089.375334600247</v>
      </c>
      <c r="AB21" s="112">
        <f>+Resultados_IRPF!F10</f>
        <v>0.17607331035634308</v>
      </c>
      <c r="AC21" s="80">
        <f t="shared" si="8"/>
        <v>81419.373273596444</v>
      </c>
      <c r="AD21" s="75"/>
      <c r="AE21" s="66"/>
      <c r="AF21" s="66"/>
      <c r="AG21" s="66"/>
      <c r="AH21" s="66"/>
      <c r="AI21" s="66"/>
      <c r="AJ21" s="66"/>
      <c r="AK21" s="66"/>
      <c r="AL21" s="66"/>
    </row>
    <row r="22" spans="2:38" x14ac:dyDescent="0.15">
      <c r="B22" s="29"/>
      <c r="J22" s="65"/>
      <c r="Q22" s="70"/>
      <c r="R22" s="72"/>
      <c r="S22" s="72"/>
      <c r="T22" s="72"/>
      <c r="U22" s="72"/>
    </row>
    <row r="23" spans="2:38" x14ac:dyDescent="0.15">
      <c r="B23" s="29"/>
      <c r="R23" s="72"/>
      <c r="S23" s="72"/>
      <c r="T23" s="72"/>
      <c r="U23" s="72"/>
      <c r="X23" s="72"/>
      <c r="Y23" s="72"/>
      <c r="AA23" s="72"/>
      <c r="AC23" s="72"/>
    </row>
    <row r="24" spans="2:38" x14ac:dyDescent="0.15">
      <c r="B24" s="26"/>
      <c r="G24" s="22"/>
      <c r="H24" s="22"/>
      <c r="J24" s="72"/>
      <c r="K24" s="72"/>
      <c r="L24" s="72"/>
      <c r="M24" s="72"/>
      <c r="N24" s="72"/>
      <c r="O24" s="72"/>
      <c r="P24" s="29"/>
      <c r="Q24" s="72"/>
      <c r="R24" s="72"/>
      <c r="S24" s="72"/>
      <c r="T24" s="72"/>
      <c r="U24" s="72"/>
      <c r="X24" s="72"/>
      <c r="Y24" s="72"/>
      <c r="AA24" s="72"/>
      <c r="AC24" s="72"/>
    </row>
    <row r="25" spans="2:38" x14ac:dyDescent="0.15">
      <c r="G25" s="22"/>
      <c r="H25" s="22"/>
      <c r="J25" s="72"/>
      <c r="K25" s="72"/>
      <c r="L25" s="72"/>
      <c r="M25" s="72"/>
      <c r="N25" s="72"/>
      <c r="O25" s="72"/>
      <c r="P25" s="29"/>
      <c r="Q25" s="72"/>
      <c r="R25" s="72"/>
      <c r="S25" s="72"/>
      <c r="T25" s="72"/>
      <c r="U25" s="72"/>
      <c r="X25" s="72"/>
      <c r="Y25" s="72"/>
      <c r="AA25" s="72"/>
      <c r="AC25" s="72"/>
    </row>
    <row r="26" spans="2:38" x14ac:dyDescent="0.15">
      <c r="G26" s="22"/>
      <c r="H26" s="22"/>
      <c r="J26" s="72"/>
      <c r="K26" s="72"/>
      <c r="L26" s="72"/>
      <c r="M26" s="72"/>
      <c r="N26" s="72"/>
      <c r="O26" s="72"/>
      <c r="P26" s="29"/>
      <c r="Q26" s="72"/>
      <c r="R26" s="72"/>
      <c r="S26" s="72"/>
      <c r="T26" s="72"/>
      <c r="U26" s="72"/>
      <c r="X26" s="72"/>
      <c r="Y26" s="72"/>
      <c r="AA26" s="72"/>
      <c r="AC26" s="72"/>
    </row>
    <row r="27" spans="2:38" x14ac:dyDescent="0.15">
      <c r="G27" s="22"/>
      <c r="H27" s="22"/>
      <c r="J27" s="72"/>
      <c r="K27" s="72"/>
      <c r="L27" s="72"/>
      <c r="M27" s="72"/>
      <c r="N27" s="72"/>
      <c r="O27" s="72"/>
      <c r="P27" s="29"/>
      <c r="Q27" s="72"/>
      <c r="R27" s="72"/>
      <c r="S27" s="72"/>
      <c r="T27" s="72"/>
      <c r="U27" s="72"/>
      <c r="X27" s="72"/>
      <c r="Y27" s="72"/>
      <c r="AA27" s="72"/>
      <c r="AC27" s="72"/>
    </row>
    <row r="28" spans="2:38" x14ac:dyDescent="0.15">
      <c r="G28" s="22"/>
      <c r="H28" s="22"/>
      <c r="J28" s="72"/>
      <c r="K28" s="72"/>
      <c r="L28" s="72"/>
      <c r="M28" s="72"/>
      <c r="N28" s="72"/>
      <c r="O28" s="72"/>
      <c r="P28" s="29"/>
      <c r="Q28" s="72"/>
      <c r="R28" s="72"/>
      <c r="S28" s="72"/>
      <c r="T28" s="72"/>
      <c r="U28" s="72"/>
      <c r="X28" s="72"/>
      <c r="Y28" s="72"/>
      <c r="AA28" s="72"/>
      <c r="AC28" s="72"/>
    </row>
    <row r="29" spans="2:38" x14ac:dyDescent="0.15">
      <c r="G29" s="22"/>
      <c r="H29" s="22"/>
      <c r="J29" s="72"/>
      <c r="K29" s="72"/>
      <c r="L29" s="72"/>
      <c r="M29" s="72"/>
      <c r="N29" s="72"/>
      <c r="O29" s="72"/>
      <c r="P29" s="29"/>
      <c r="Q29" s="72"/>
      <c r="R29" s="72"/>
      <c r="S29" s="72"/>
      <c r="T29" s="72"/>
      <c r="U29" s="72"/>
      <c r="X29" s="72"/>
      <c r="Y29" s="72"/>
      <c r="AA29" s="72"/>
      <c r="AC29" s="72"/>
    </row>
    <row r="30" spans="2:38" x14ac:dyDescent="0.15">
      <c r="G30" s="22"/>
      <c r="H30" s="22"/>
      <c r="J30" s="72"/>
      <c r="K30" s="72"/>
      <c r="L30" s="72"/>
      <c r="M30" s="72"/>
      <c r="N30" s="72"/>
      <c r="O30" s="72"/>
      <c r="P30" s="29"/>
      <c r="Q30" s="72"/>
      <c r="R30" s="72"/>
      <c r="S30" s="72"/>
      <c r="T30" s="72"/>
      <c r="U30" s="72"/>
      <c r="X30" s="72"/>
      <c r="Y30" s="72"/>
      <c r="AA30" s="72"/>
      <c r="AC30" s="72"/>
    </row>
    <row r="31" spans="2:38" x14ac:dyDescent="0.15">
      <c r="G31" s="22"/>
      <c r="H31" s="22"/>
      <c r="J31" s="72"/>
      <c r="K31" s="72"/>
      <c r="L31" s="72"/>
      <c r="M31" s="72"/>
      <c r="N31" s="72"/>
      <c r="O31" s="72"/>
      <c r="P31" s="29"/>
      <c r="Q31" s="72"/>
      <c r="R31" s="72"/>
      <c r="S31" s="72"/>
      <c r="T31" s="72"/>
      <c r="U31" s="72"/>
      <c r="X31" s="72"/>
      <c r="Y31" s="72"/>
      <c r="AA31" s="72"/>
      <c r="AC31" s="72"/>
    </row>
    <row r="32" spans="2:38" x14ac:dyDescent="0.15">
      <c r="G32" s="22"/>
      <c r="H32" s="22"/>
      <c r="J32" s="72"/>
      <c r="K32" s="72"/>
      <c r="L32" s="72"/>
      <c r="M32" s="72"/>
      <c r="N32" s="72"/>
      <c r="O32" s="72"/>
      <c r="P32" s="29"/>
      <c r="Q32" s="72"/>
      <c r="R32" s="72"/>
      <c r="S32" s="72"/>
      <c r="T32" s="72"/>
      <c r="U32" s="72"/>
      <c r="X32" s="72"/>
      <c r="Y32" s="72"/>
      <c r="AA32" s="72"/>
      <c r="AC32" s="72"/>
    </row>
    <row r="33" spans="7:29" x14ac:dyDescent="0.15">
      <c r="G33" s="22"/>
      <c r="H33" s="22"/>
      <c r="J33" s="72"/>
      <c r="K33" s="72"/>
      <c r="L33" s="72"/>
      <c r="M33" s="72"/>
      <c r="N33" s="72"/>
      <c r="O33" s="72"/>
      <c r="P33" s="29"/>
      <c r="Q33" s="72"/>
      <c r="R33" s="72"/>
      <c r="S33" s="72"/>
      <c r="T33" s="72"/>
      <c r="U33" s="72"/>
      <c r="X33" s="72"/>
      <c r="Y33" s="72"/>
      <c r="AA33" s="72"/>
      <c r="AC33" s="72"/>
    </row>
    <row r="34" spans="7:29" x14ac:dyDescent="0.15">
      <c r="G34" s="22"/>
      <c r="H34" s="22"/>
      <c r="J34" s="72"/>
      <c r="K34" s="72"/>
      <c r="L34" s="72"/>
      <c r="M34" s="72"/>
      <c r="N34" s="72"/>
      <c r="O34" s="72"/>
      <c r="P34" s="29"/>
      <c r="Q34" s="72"/>
      <c r="R34" s="72"/>
      <c r="S34" s="72"/>
      <c r="T34" s="72"/>
      <c r="U34" s="72"/>
      <c r="X34" s="72"/>
      <c r="Y34" s="72"/>
      <c r="AA34" s="72"/>
      <c r="AC34" s="72"/>
    </row>
    <row r="35" spans="7:29" x14ac:dyDescent="0.15">
      <c r="G35" s="22"/>
      <c r="H35" s="22"/>
      <c r="O35" s="29"/>
      <c r="P35" s="65"/>
      <c r="Q35" s="107"/>
      <c r="R35" s="72"/>
      <c r="S35" s="72"/>
      <c r="T35" s="72"/>
      <c r="U35" s="72"/>
      <c r="X35" s="72"/>
      <c r="Y35" s="72"/>
      <c r="Z35" s="72"/>
      <c r="AA35" s="72"/>
      <c r="AB35" s="72"/>
      <c r="AC35" s="72"/>
    </row>
    <row r="36" spans="7:29" x14ac:dyDescent="0.15">
      <c r="X36" s="72"/>
      <c r="Y36" s="72"/>
      <c r="Z36" s="72"/>
      <c r="AA36" s="72"/>
      <c r="AB36" s="72"/>
      <c r="AC36" s="72"/>
    </row>
    <row r="37" spans="7:29" x14ac:dyDescent="0.15">
      <c r="X37" s="72"/>
      <c r="Y37" s="72"/>
      <c r="Z37" s="72"/>
      <c r="AA37" s="72"/>
      <c r="AB37" s="72"/>
      <c r="AC37" s="72"/>
    </row>
    <row r="38" spans="7:29" x14ac:dyDescent="0.15">
      <c r="X38" s="72"/>
      <c r="Y38" s="72"/>
      <c r="Z38" s="72"/>
      <c r="AA38" s="72"/>
      <c r="AB38" s="72"/>
      <c r="AC38" s="72"/>
    </row>
    <row r="39" spans="7:29" x14ac:dyDescent="0.15">
      <c r="X39" s="72"/>
      <c r="Y39" s="72"/>
      <c r="Z39" s="72"/>
      <c r="AA39" s="72"/>
      <c r="AB39" s="72"/>
      <c r="AC39" s="72"/>
    </row>
    <row r="40" spans="7:29" x14ac:dyDescent="0.15">
      <c r="X40" s="72"/>
      <c r="Y40" s="72"/>
      <c r="Z40" s="72"/>
      <c r="AA40" s="72"/>
      <c r="AB40" s="72"/>
      <c r="AC40" s="72"/>
    </row>
    <row r="41" spans="7:29" x14ac:dyDescent="0.15">
      <c r="X41" s="72"/>
      <c r="Y41" s="72"/>
      <c r="Z41" s="72"/>
      <c r="AA41" s="72"/>
      <c r="AB41" s="72"/>
      <c r="AC41" s="72"/>
    </row>
    <row r="42" spans="7:29" x14ac:dyDescent="0.15">
      <c r="X42" s="72"/>
      <c r="Y42" s="72"/>
      <c r="Z42" s="72"/>
      <c r="AA42" s="72"/>
      <c r="AB42" s="72"/>
      <c r="AC42" s="72"/>
    </row>
    <row r="43" spans="7:29" x14ac:dyDescent="0.15">
      <c r="X43" s="72"/>
      <c r="Y43" s="72"/>
      <c r="Z43" s="72"/>
      <c r="AA43" s="72"/>
      <c r="AB43" s="72"/>
      <c r="AC43" s="72"/>
    </row>
    <row r="44" spans="7:29" x14ac:dyDescent="0.15">
      <c r="X44" s="72"/>
      <c r="Y44" s="72"/>
      <c r="Z44" s="72"/>
      <c r="AA44" s="72"/>
      <c r="AB44" s="72"/>
      <c r="AC44" s="72"/>
    </row>
    <row r="45" spans="7:29" x14ac:dyDescent="0.15">
      <c r="X45" s="72"/>
      <c r="Y45" s="72"/>
      <c r="Z45" s="72"/>
      <c r="AA45" s="72"/>
      <c r="AB45" s="72"/>
      <c r="AC45" s="72"/>
    </row>
    <row r="46" spans="7:29" x14ac:dyDescent="0.15">
      <c r="X46" s="72"/>
    </row>
    <row r="47" spans="7:29" x14ac:dyDescent="0.15">
      <c r="X47" s="72"/>
    </row>
    <row r="48" spans="7:29" x14ac:dyDescent="0.15">
      <c r="X48" s="72"/>
    </row>
  </sheetData>
  <sheetProtection algorithmName="SHA-512" hashValue="inXLALuRlCk05U0MzzGf7fyeDI2DPYBUkpfpbawrtrc0ze+KriRSkpaV+uRZXLGpCrFrmGTGOuKWI/XdJtAL1Q==" saltValue="I7Xbww1nUvnffWxaHNO3Tw==" spinCount="100000" sheet="1" objects="1" scenarios="1"/>
  <mergeCells count="5">
    <mergeCell ref="E2:H2"/>
    <mergeCell ref="J2:V2"/>
    <mergeCell ref="X2:AC2"/>
    <mergeCell ref="P3:Q3"/>
    <mergeCell ref="B2:D3"/>
  </mergeCells>
  <hyperlinks>
    <hyperlink ref="B2" location="Indice!A1" display="Volve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showGridLines="0" workbookViewId="0">
      <selection activeCell="K11" sqref="K11"/>
    </sheetView>
  </sheetViews>
  <sheetFormatPr baseColWidth="10" defaultColWidth="11.42578125" defaultRowHeight="10.5" x14ac:dyDescent="0.15"/>
  <cols>
    <col min="1" max="1" width="3.42578125" style="42" customWidth="1"/>
    <col min="2" max="2" width="9.85546875" style="42" customWidth="1"/>
    <col min="3" max="6" width="11.42578125" style="42"/>
    <col min="7" max="7" width="11.42578125" style="42" customWidth="1"/>
    <col min="8" max="8" width="7.5703125" style="42" customWidth="1"/>
    <col min="9" max="9" width="11.42578125" style="42" customWidth="1"/>
    <col min="10" max="10" width="11.42578125" style="42"/>
    <col min="11" max="11" width="7.28515625" style="42" customWidth="1"/>
    <col min="12" max="12" width="11.42578125" style="42"/>
    <col min="13" max="13" width="8.5703125" style="42" customWidth="1"/>
    <col min="14" max="14" width="6.7109375" style="42" customWidth="1"/>
    <col min="15" max="126" width="11.42578125" style="42"/>
    <col min="127" max="127" width="8.5703125" style="42" customWidth="1"/>
    <col min="128" max="16384" width="11.42578125" style="42"/>
  </cols>
  <sheetData>
    <row r="2" spans="2:15" ht="10.9" customHeight="1" x14ac:dyDescent="0.15">
      <c r="B2" s="232" t="s">
        <v>196</v>
      </c>
      <c r="C2" s="229" t="s">
        <v>197</v>
      </c>
      <c r="D2" s="230"/>
      <c r="E2" s="230"/>
      <c r="F2" s="231"/>
    </row>
    <row r="3" spans="2:15" ht="16.149999999999999" customHeight="1" thickBot="1" x14ac:dyDescent="0.2">
      <c r="B3" s="232"/>
      <c r="C3" s="227"/>
      <c r="D3" s="227"/>
    </row>
    <row r="4" spans="2:15" ht="69.75" customHeight="1" x14ac:dyDescent="0.15">
      <c r="C4" s="190" t="s">
        <v>163</v>
      </c>
      <c r="D4" s="190" t="s">
        <v>177</v>
      </c>
      <c r="E4" s="191" t="s">
        <v>169</v>
      </c>
      <c r="F4" s="192" t="s">
        <v>171</v>
      </c>
    </row>
    <row r="5" spans="2:15" ht="11.25" thickBot="1" x14ac:dyDescent="0.2">
      <c r="C5" s="158" t="s">
        <v>82</v>
      </c>
      <c r="D5" s="27" t="s">
        <v>82</v>
      </c>
      <c r="E5" s="27"/>
      <c r="F5" s="159"/>
    </row>
    <row r="6" spans="2:15" x14ac:dyDescent="0.15">
      <c r="B6" s="193">
        <v>2014</v>
      </c>
      <c r="C6" s="211">
        <f>+Cálculos_IRPF!S16</f>
        <v>13.581860572488221</v>
      </c>
      <c r="D6" s="248">
        <f>+Cálculos_IRPF!$V$16</f>
        <v>12.76681327793961</v>
      </c>
      <c r="E6" s="211">
        <f>+AVERAGE(Cálculos_IRPF!$Z$14:$Z$16)</f>
        <v>1.1935618958307845</v>
      </c>
      <c r="F6" s="211">
        <f>+AVERAGE(Cálculos_IRPF!AB14:AB16)</f>
        <v>0.17607331035634308</v>
      </c>
    </row>
    <row r="7" spans="2:15" x14ac:dyDescent="0.15">
      <c r="B7" s="193">
        <v>2015</v>
      </c>
      <c r="C7" s="212">
        <f>+Cálculos_IRPF!S16</f>
        <v>13.581860572488221</v>
      </c>
      <c r="D7" s="249">
        <f>+Cálculos_IRPF!$V$16</f>
        <v>12.76681327793961</v>
      </c>
      <c r="E7" s="212">
        <f>+E6</f>
        <v>1.1935618958307845</v>
      </c>
      <c r="F7" s="212">
        <f>+F6</f>
        <v>0.17607331035634308</v>
      </c>
    </row>
    <row r="8" spans="2:15" x14ac:dyDescent="0.15">
      <c r="B8" s="193">
        <v>2016</v>
      </c>
      <c r="C8" s="212">
        <f>+Cálculos_IRPF!S16</f>
        <v>13.581860572488221</v>
      </c>
      <c r="D8" s="249">
        <f>+Cálculos_IRPF!$V$16</f>
        <v>12.76681327793961</v>
      </c>
      <c r="E8" s="212">
        <f t="shared" ref="E8:E10" si="0">+E7</f>
        <v>1.1935618958307845</v>
      </c>
      <c r="F8" s="212">
        <f t="shared" ref="F8:F10" si="1">+F7</f>
        <v>0.17607331035634308</v>
      </c>
    </row>
    <row r="9" spans="2:15" x14ac:dyDescent="0.15">
      <c r="B9" s="193">
        <v>2017</v>
      </c>
      <c r="C9" s="212">
        <f>+Cálculos_IRPF!S16</f>
        <v>13.581860572488221</v>
      </c>
      <c r="D9" s="249">
        <f>+Cálculos_IRPF!$V$16</f>
        <v>12.76681327793961</v>
      </c>
      <c r="E9" s="212">
        <f t="shared" si="0"/>
        <v>1.1935618958307845</v>
      </c>
      <c r="F9" s="212">
        <f t="shared" si="1"/>
        <v>0.17607331035634308</v>
      </c>
    </row>
    <row r="10" spans="2:15" ht="11.25" thickBot="1" x14ac:dyDescent="0.2">
      <c r="B10" s="193">
        <v>2018</v>
      </c>
      <c r="C10" s="213">
        <f>+Cálculos_IRPF!S16</f>
        <v>13.581860572488221</v>
      </c>
      <c r="D10" s="250">
        <f>+Cálculos_IRPF!$V$16</f>
        <v>12.76681327793961</v>
      </c>
      <c r="E10" s="213">
        <f t="shared" si="0"/>
        <v>1.1935618958307845</v>
      </c>
      <c r="F10" s="213">
        <f t="shared" si="1"/>
        <v>0.17607331035634308</v>
      </c>
    </row>
    <row r="11" spans="2:15" x14ac:dyDescent="0.15">
      <c r="B11" s="29"/>
    </row>
    <row r="12" spans="2:15" ht="11.25" x14ac:dyDescent="0.15">
      <c r="B12" s="198" t="s">
        <v>83</v>
      </c>
      <c r="J12" s="47"/>
      <c r="K12" s="47"/>
      <c r="L12" s="47"/>
    </row>
    <row r="13" spans="2:15" x14ac:dyDescent="0.15">
      <c r="J13" s="47"/>
      <c r="K13" s="47"/>
      <c r="L13" s="47"/>
    </row>
    <row r="14" spans="2:15" x14ac:dyDescent="0.15">
      <c r="B14" s="226" t="s">
        <v>204</v>
      </c>
      <c r="C14" s="226"/>
      <c r="D14" s="226"/>
      <c r="E14" s="226"/>
      <c r="F14" s="226"/>
      <c r="G14" s="226"/>
      <c r="H14" s="189"/>
      <c r="I14" s="226" t="s">
        <v>205</v>
      </c>
      <c r="J14" s="226"/>
      <c r="K14" s="226"/>
      <c r="L14" s="226"/>
      <c r="M14" s="226"/>
      <c r="N14" s="226"/>
      <c r="O14" s="226"/>
    </row>
    <row r="15" spans="2:15" x14ac:dyDescent="0.15">
      <c r="B15" s="189"/>
      <c r="C15" s="189"/>
      <c r="D15" s="189"/>
      <c r="E15" s="189"/>
      <c r="F15" s="189"/>
      <c r="G15" s="189"/>
      <c r="H15" s="189"/>
      <c r="I15" s="189"/>
      <c r="J15" s="201"/>
      <c r="K15" s="201"/>
      <c r="L15" s="201"/>
      <c r="M15" s="189"/>
      <c r="N15" s="189"/>
      <c r="O15" s="189"/>
    </row>
    <row r="16" spans="2:15" x14ac:dyDescent="0.15">
      <c r="J16" s="47"/>
      <c r="K16" s="47"/>
      <c r="L16" s="47"/>
    </row>
    <row r="17" spans="10:12" x14ac:dyDescent="0.15">
      <c r="J17" s="47"/>
      <c r="K17" s="47"/>
      <c r="L17" s="47"/>
    </row>
    <row r="18" spans="10:12" x14ac:dyDescent="0.15">
      <c r="J18" s="47"/>
      <c r="K18" s="47"/>
      <c r="L18" s="47"/>
    </row>
    <row r="19" spans="10:12" x14ac:dyDescent="0.15">
      <c r="J19" s="47"/>
      <c r="K19" s="47"/>
      <c r="L19" s="47"/>
    </row>
    <row r="20" spans="10:12" x14ac:dyDescent="0.15">
      <c r="J20" s="47"/>
      <c r="K20" s="47"/>
      <c r="L20" s="47"/>
    </row>
    <row r="21" spans="10:12" x14ac:dyDescent="0.15">
      <c r="J21" s="47"/>
      <c r="K21" s="47"/>
      <c r="L21" s="47"/>
    </row>
    <row r="22" spans="10:12" x14ac:dyDescent="0.15">
      <c r="J22" s="47"/>
      <c r="K22" s="47"/>
      <c r="L22" s="47"/>
    </row>
    <row r="23" spans="10:12" x14ac:dyDescent="0.15">
      <c r="J23" s="47"/>
      <c r="K23" s="47"/>
      <c r="L23" s="47"/>
    </row>
    <row r="24" spans="10:12" x14ac:dyDescent="0.15">
      <c r="J24" s="47"/>
      <c r="K24" s="47"/>
      <c r="L24" s="47"/>
    </row>
    <row r="25" spans="10:12" x14ac:dyDescent="0.15">
      <c r="J25" s="47"/>
      <c r="K25" s="47"/>
      <c r="L25" s="47"/>
    </row>
    <row r="26" spans="10:12" x14ac:dyDescent="0.15">
      <c r="J26" s="47"/>
      <c r="K26" s="47"/>
      <c r="L26" s="47"/>
    </row>
    <row r="27" spans="10:12" x14ac:dyDescent="0.15">
      <c r="J27" s="47"/>
      <c r="K27" s="47"/>
      <c r="L27" s="47"/>
    </row>
    <row r="28" spans="10:12" x14ac:dyDescent="0.15">
      <c r="J28" s="47"/>
      <c r="K28" s="47"/>
      <c r="L28" s="47"/>
    </row>
    <row r="29" spans="10:12" x14ac:dyDescent="0.15">
      <c r="J29" s="47"/>
      <c r="K29" s="47"/>
      <c r="L29" s="47"/>
    </row>
    <row r="30" spans="10:12" x14ac:dyDescent="0.15">
      <c r="J30" s="47"/>
      <c r="K30" s="47"/>
      <c r="L30" s="47"/>
    </row>
    <row r="31" spans="10:12" x14ac:dyDescent="0.15">
      <c r="J31" s="47"/>
      <c r="K31" s="47"/>
      <c r="L31" s="47"/>
    </row>
    <row r="32" spans="10:12" x14ac:dyDescent="0.15">
      <c r="J32" s="47"/>
      <c r="K32" s="47"/>
      <c r="L32" s="47"/>
    </row>
    <row r="33" spans="1:12" x14ac:dyDescent="0.15">
      <c r="J33" s="47"/>
      <c r="K33" s="47"/>
      <c r="L33" s="47"/>
    </row>
    <row r="34" spans="1:12" x14ac:dyDescent="0.15">
      <c r="J34" s="47"/>
      <c r="K34" s="47"/>
      <c r="L34" s="47"/>
    </row>
    <row r="35" spans="1:12" x14ac:dyDescent="0.15">
      <c r="J35" s="47"/>
      <c r="K35" s="47"/>
      <c r="L35" s="47"/>
    </row>
    <row r="36" spans="1:12" x14ac:dyDescent="0.15">
      <c r="J36" s="47"/>
      <c r="K36" s="47"/>
      <c r="L36" s="47"/>
    </row>
    <row r="37" spans="1:12" x14ac:dyDescent="0.15">
      <c r="J37" s="47"/>
      <c r="K37" s="47"/>
      <c r="L37" s="47"/>
    </row>
    <row r="38" spans="1:12" x14ac:dyDescent="0.15">
      <c r="J38" s="47"/>
      <c r="K38" s="47"/>
      <c r="L38" s="47"/>
    </row>
    <row r="39" spans="1:12" x14ac:dyDescent="0.15">
      <c r="J39" s="47"/>
      <c r="K39" s="47"/>
      <c r="L39" s="47"/>
    </row>
    <row r="40" spans="1:12" x14ac:dyDescent="0.15">
      <c r="J40" s="47"/>
      <c r="K40" s="47"/>
      <c r="L40" s="47"/>
    </row>
    <row r="41" spans="1:12" x14ac:dyDescent="0.15">
      <c r="J41" s="47"/>
      <c r="K41" s="47"/>
      <c r="L41" s="47"/>
    </row>
    <row r="42" spans="1:12" x14ac:dyDescent="0.15">
      <c r="J42" s="47"/>
      <c r="K42" s="47"/>
      <c r="L42" s="47"/>
    </row>
    <row r="43" spans="1:12" x14ac:dyDescent="0.15">
      <c r="A43" s="30"/>
      <c r="J43" s="47"/>
      <c r="K43" s="47"/>
      <c r="L43" s="47"/>
    </row>
    <row r="44" spans="1:12" x14ac:dyDescent="0.15">
      <c r="J44" s="47"/>
      <c r="K44" s="47"/>
      <c r="L44" s="47"/>
    </row>
    <row r="45" spans="1:12" x14ac:dyDescent="0.15">
      <c r="J45" s="47"/>
      <c r="K45" s="47"/>
      <c r="L45" s="47"/>
    </row>
    <row r="46" spans="1:12" x14ac:dyDescent="0.15">
      <c r="J46" s="47"/>
      <c r="K46" s="47"/>
      <c r="L46" s="47"/>
    </row>
    <row r="47" spans="1:12" x14ac:dyDescent="0.15">
      <c r="B47" s="226" t="s">
        <v>146</v>
      </c>
      <c r="C47" s="226"/>
      <c r="D47" s="226"/>
      <c r="E47" s="226"/>
      <c r="F47" s="226"/>
      <c r="G47" s="226"/>
      <c r="J47" s="47"/>
      <c r="K47" s="47"/>
      <c r="L47" s="47"/>
    </row>
    <row r="65" spans="2:7" ht="10.5" customHeight="1" x14ac:dyDescent="0.15">
      <c r="B65" s="228" t="s">
        <v>254</v>
      </c>
      <c r="C65" s="228"/>
      <c r="D65" s="228"/>
      <c r="E65" s="228" t="s">
        <v>255</v>
      </c>
      <c r="F65" s="228"/>
      <c r="G65" s="228"/>
    </row>
    <row r="66" spans="2:7" x14ac:dyDescent="0.15">
      <c r="B66" s="228"/>
      <c r="C66" s="228"/>
      <c r="D66" s="228"/>
      <c r="E66" s="228"/>
      <c r="F66" s="228"/>
      <c r="G66" s="228"/>
    </row>
    <row r="67" spans="2:7" x14ac:dyDescent="0.15">
      <c r="B67" s="228"/>
      <c r="C67" s="228"/>
      <c r="D67" s="228"/>
      <c r="E67" s="228"/>
      <c r="F67" s="228"/>
      <c r="G67" s="228"/>
    </row>
    <row r="68" spans="2:7" x14ac:dyDescent="0.15">
      <c r="B68" s="228"/>
      <c r="C68" s="228"/>
      <c r="D68" s="228"/>
      <c r="E68" s="228"/>
      <c r="F68" s="228"/>
      <c r="G68" s="228"/>
    </row>
    <row r="69" spans="2:7" x14ac:dyDescent="0.15">
      <c r="B69" s="228"/>
      <c r="C69" s="228"/>
      <c r="D69" s="228"/>
      <c r="E69" s="228"/>
      <c r="F69" s="228"/>
      <c r="G69" s="228"/>
    </row>
    <row r="70" spans="2:7" x14ac:dyDescent="0.15">
      <c r="B70" s="228"/>
      <c r="C70" s="228"/>
      <c r="D70" s="228"/>
      <c r="E70" s="228"/>
      <c r="F70" s="228"/>
      <c r="G70" s="228"/>
    </row>
    <row r="71" spans="2:7" x14ac:dyDescent="0.15">
      <c r="B71" s="228"/>
      <c r="C71" s="228"/>
      <c r="D71" s="228"/>
      <c r="E71" s="228"/>
      <c r="F71" s="228"/>
      <c r="G71" s="228"/>
    </row>
    <row r="72" spans="2:7" x14ac:dyDescent="0.15">
      <c r="B72" s="210"/>
      <c r="C72" s="210"/>
      <c r="D72" s="210"/>
      <c r="E72" s="210"/>
      <c r="F72" s="210"/>
      <c r="G72" s="210"/>
    </row>
    <row r="73" spans="2:7" x14ac:dyDescent="0.15">
      <c r="B73" s="210"/>
      <c r="C73" s="210"/>
      <c r="D73" s="210"/>
      <c r="E73" s="210"/>
      <c r="F73" s="210"/>
      <c r="G73" s="210"/>
    </row>
    <row r="74" spans="2:7" x14ac:dyDescent="0.15">
      <c r="B74" s="210"/>
      <c r="C74" s="210"/>
      <c r="D74" s="210"/>
      <c r="E74" s="210"/>
      <c r="F74" s="210"/>
      <c r="G74" s="210"/>
    </row>
    <row r="75" spans="2:7" x14ac:dyDescent="0.15">
      <c r="B75" s="210"/>
      <c r="C75" s="210"/>
      <c r="D75" s="210"/>
      <c r="E75" s="210"/>
      <c r="F75" s="210"/>
      <c r="G75" s="210"/>
    </row>
  </sheetData>
  <sheetProtection algorithmName="SHA-512" hashValue="HMWAkfNqJUNmlieYCw3xhNYrsZRiUd2/mIyL0tyOv9hCq0jkwen5xqAuU3VxIae02LFw+jnaZZ8NZS1jHCQ5gA==" saltValue="zzAcPFyss9h62YhjRdehtA==" spinCount="100000" sheet="1" objects="1" scenarios="1"/>
  <mergeCells count="8">
    <mergeCell ref="C2:F2"/>
    <mergeCell ref="B2:B3"/>
    <mergeCell ref="B14:G14"/>
    <mergeCell ref="I14:O14"/>
    <mergeCell ref="C3:D3"/>
    <mergeCell ref="B47:G47"/>
    <mergeCell ref="B65:D71"/>
    <mergeCell ref="E65:G71"/>
  </mergeCells>
  <hyperlinks>
    <hyperlink ref="B2" location="I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showGridLines="0" zoomScale="95" zoomScaleNormal="95" workbookViewId="0">
      <selection activeCell="J4" sqref="J4"/>
    </sheetView>
  </sheetViews>
  <sheetFormatPr baseColWidth="10" defaultColWidth="11.42578125" defaultRowHeight="10.5" x14ac:dyDescent="0.15"/>
  <cols>
    <col min="1" max="1" width="2.7109375" style="3" customWidth="1"/>
    <col min="2" max="2" width="11" style="3" customWidth="1"/>
    <col min="3" max="9" width="11.42578125" style="3"/>
    <col min="10" max="12" width="11.42578125" style="47" customWidth="1"/>
    <col min="13" max="13" width="4.5703125" style="3" customWidth="1"/>
    <col min="14" max="14" width="10.7109375" style="3" customWidth="1"/>
    <col min="15" max="128" width="11.42578125" style="3"/>
    <col min="129" max="129" width="8.5703125" style="3" customWidth="1"/>
    <col min="130" max="16384" width="11.42578125" style="3"/>
  </cols>
  <sheetData>
    <row r="2" spans="2:16" ht="11.45" customHeight="1" x14ac:dyDescent="0.15">
      <c r="B2" s="232" t="s">
        <v>196</v>
      </c>
      <c r="C2" s="229" t="s">
        <v>197</v>
      </c>
      <c r="D2" s="230"/>
      <c r="E2" s="230"/>
      <c r="F2" s="230"/>
      <c r="G2" s="230"/>
      <c r="H2" s="230"/>
      <c r="I2" s="231"/>
    </row>
    <row r="3" spans="2:16" ht="15" customHeight="1" thickBot="1" x14ac:dyDescent="0.2">
      <c r="B3" s="232"/>
      <c r="K3" s="226" t="s">
        <v>201</v>
      </c>
      <c r="L3" s="226"/>
      <c r="M3" s="226"/>
      <c r="N3" s="226"/>
      <c r="O3" s="200"/>
      <c r="P3" s="105"/>
    </row>
    <row r="4" spans="2:16" ht="69.75" customHeight="1" x14ac:dyDescent="0.15">
      <c r="C4" s="194" t="s">
        <v>234</v>
      </c>
      <c r="D4" s="195" t="s">
        <v>235</v>
      </c>
      <c r="E4" s="195" t="s">
        <v>231</v>
      </c>
      <c r="F4" s="195" t="s">
        <v>230</v>
      </c>
      <c r="G4" s="195" t="s">
        <v>79</v>
      </c>
      <c r="H4" s="195" t="s">
        <v>80</v>
      </c>
      <c r="I4" s="196" t="s">
        <v>81</v>
      </c>
      <c r="J4" s="3"/>
      <c r="K4" s="3"/>
      <c r="L4" s="3"/>
    </row>
    <row r="5" spans="2:16" ht="11.25" thickBot="1" x14ac:dyDescent="0.2">
      <c r="C5" s="158" t="s">
        <v>15</v>
      </c>
      <c r="D5" s="28" t="s">
        <v>15</v>
      </c>
      <c r="E5" s="28" t="s">
        <v>15</v>
      </c>
      <c r="F5" s="28" t="s">
        <v>15</v>
      </c>
      <c r="G5" s="28" t="s">
        <v>82</v>
      </c>
      <c r="H5" s="27" t="s">
        <v>82</v>
      </c>
      <c r="I5" s="159" t="s">
        <v>82</v>
      </c>
      <c r="J5" s="3"/>
      <c r="K5" s="3"/>
      <c r="L5" s="3"/>
    </row>
    <row r="6" spans="2:16" x14ac:dyDescent="0.15">
      <c r="B6" s="199">
        <v>2014</v>
      </c>
      <c r="C6" s="211">
        <f>+AVERAGE(Cálculos_trabajo!BF8:BF24)</f>
        <v>1.5984616718928899</v>
      </c>
      <c r="D6" s="211">
        <f>+AVERAGE(Cálculos_trabajo!BG21:BG24)</f>
        <v>5.0604697467993622</v>
      </c>
      <c r="E6" s="211">
        <f>+AVERAGE(Cálculos_trabajo!BH21:BH24)</f>
        <v>0.74812918489171043</v>
      </c>
      <c r="F6" s="211">
        <f>+AVERAGE(Cálculos_trabajo!BI21:BI24)</f>
        <v>2.2454424219261635</v>
      </c>
      <c r="G6" s="211">
        <v>18</v>
      </c>
      <c r="H6" s="211">
        <f>+AVERAGE(Cálculos_trabajo!CG22:CG24)</f>
        <v>6.9681318987789469</v>
      </c>
      <c r="I6" s="211">
        <f>+AVERAGE(Cálculos_trabajo!CH22:CH24)</f>
        <v>0.37999999999999995</v>
      </c>
      <c r="J6" s="3"/>
      <c r="K6" s="3"/>
      <c r="L6" s="3"/>
    </row>
    <row r="7" spans="2:16" x14ac:dyDescent="0.15">
      <c r="B7" s="199">
        <v>2015</v>
      </c>
      <c r="C7" s="212">
        <f>+AVERAGE(Cálculos_trabajo!BF9:BF25)</f>
        <v>1.3711712638297731</v>
      </c>
      <c r="D7" s="212">
        <f>+AVERAGE(Cálculos_trabajo!BG22:BG25)</f>
        <v>4.5298103439131641</v>
      </c>
      <c r="E7" s="212">
        <f>+AVERAGE(Cálculos_trabajo!BH22:BH25)</f>
        <v>0.67122984959169796</v>
      </c>
      <c r="F7" s="212">
        <f>+AVERAGE(Cálculos_trabajo!BI22:BI25)</f>
        <v>-0.92204479757227598</v>
      </c>
      <c r="G7" s="212">
        <v>18</v>
      </c>
      <c r="H7" s="212">
        <f>+AVERAGE(Cálculos_trabajo!CG23:CG25)</f>
        <v>7.1200635190228168</v>
      </c>
      <c r="I7" s="212">
        <f>+AVERAGE(Cálculos_trabajo!CH23:CH25)</f>
        <v>0.39999999999999997</v>
      </c>
      <c r="J7" s="3"/>
      <c r="K7" s="3"/>
      <c r="L7" s="3"/>
    </row>
    <row r="8" spans="2:16" x14ac:dyDescent="0.15">
      <c r="B8" s="199">
        <v>2016</v>
      </c>
      <c r="C8" s="212">
        <f>+AVERAGE(Cálculos_trabajo!BF10:BF26)</f>
        <v>1.1734629531049752</v>
      </c>
      <c r="D8" s="212">
        <f>+AVERAGE(Cálculos_trabajo!BG23:BG26)</f>
        <v>4.7617181993559203</v>
      </c>
      <c r="E8" s="212">
        <f>+AVERAGE(Cálculos_trabajo!BH23:BH26)</f>
        <v>0.62283616066471503</v>
      </c>
      <c r="F8" s="212">
        <f>+AVERAGE(Cálculos_trabajo!BI23:BI26)</f>
        <v>0.20027774333690559</v>
      </c>
      <c r="G8" s="212">
        <v>18</v>
      </c>
      <c r="H8" s="212">
        <f>+AVERAGE(Cálculos_trabajo!CG24:CG26)</f>
        <v>7.1501793571865342</v>
      </c>
      <c r="I8" s="212">
        <f>+AVERAGE(Cálculos_trabajo!CH24:CH26)</f>
        <v>0.39666666666666667</v>
      </c>
      <c r="J8" s="3"/>
      <c r="K8" s="3"/>
      <c r="L8" s="3"/>
    </row>
    <row r="9" spans="2:16" x14ac:dyDescent="0.15">
      <c r="B9" s="199">
        <v>2017</v>
      </c>
      <c r="C9" s="212">
        <f>+AVERAGE(Cálculos_trabajo!BF11:BF27)</f>
        <v>0.92133813639987427</v>
      </c>
      <c r="D9" s="212">
        <f>+AVERAGE(Cálculos_trabajo!BG24:BG27)</f>
        <v>4.7456429686577515</v>
      </c>
      <c r="E9" s="212">
        <f>+AVERAGE(Cálculos_trabajo!BH24:BH27)</f>
        <v>0.92768873173372812</v>
      </c>
      <c r="F9" s="212">
        <f>+AVERAGE(Cálculos_trabajo!BI24:BI27)</f>
        <v>-0.83326680726528379</v>
      </c>
      <c r="G9" s="212">
        <v>18</v>
      </c>
      <c r="H9" s="212">
        <f>+AVERAGE(Cálculos_trabajo!CG25:CG27)</f>
        <v>7.0794582583294323</v>
      </c>
      <c r="I9" s="212">
        <f>+AVERAGE(Cálculos_trabajo!CH25:CH27)</f>
        <v>0.39222222222222219</v>
      </c>
      <c r="J9" s="3"/>
      <c r="K9" s="3"/>
      <c r="L9" s="3"/>
    </row>
    <row r="10" spans="2:16" ht="11.25" thickBot="1" x14ac:dyDescent="0.2">
      <c r="B10" s="199">
        <v>2018</v>
      </c>
      <c r="C10" s="213">
        <f>+AVERAGE(Cálculos_trabajo!BF12:BF28)</f>
        <v>0.65368021314355995</v>
      </c>
      <c r="D10" s="213">
        <f>+AVERAGE(Cálculos_trabajo!BG25:BG28)</f>
        <v>4.7744103146815497</v>
      </c>
      <c r="E10" s="213">
        <f>+AVERAGE(Cálculos_trabajo!BH25:BH28)</f>
        <v>0.74247098172046289</v>
      </c>
      <c r="F10" s="213">
        <f>+AVERAGE(Cálculos_trabajo!BI25:BI28)</f>
        <v>0.17260214010637737</v>
      </c>
      <c r="G10" s="213">
        <v>18</v>
      </c>
      <c r="H10" s="213">
        <f>+AVERAGE(Cálculos_trabajo!CG26:CG28)</f>
        <v>7.1165670448462608</v>
      </c>
      <c r="I10" s="213">
        <f>+AVERAGE(Cálculos_trabajo!CH26:CH28)</f>
        <v>0.39629629629629631</v>
      </c>
      <c r="J10" s="3"/>
      <c r="K10" s="3"/>
      <c r="L10" s="3"/>
    </row>
    <row r="11" spans="2:16" x14ac:dyDescent="0.15">
      <c r="B11" s="29"/>
    </row>
    <row r="12" spans="2:16" ht="11.25" x14ac:dyDescent="0.15">
      <c r="B12" s="198" t="s">
        <v>83</v>
      </c>
    </row>
    <row r="14" spans="2:16" x14ac:dyDescent="0.15">
      <c r="B14" s="226" t="s">
        <v>198</v>
      </c>
      <c r="C14" s="226"/>
      <c r="D14" s="226"/>
      <c r="E14" s="226"/>
      <c r="F14" s="226"/>
      <c r="G14" s="226"/>
      <c r="H14" s="189"/>
      <c r="I14" s="226" t="s">
        <v>199</v>
      </c>
      <c r="J14" s="226"/>
      <c r="K14" s="226"/>
      <c r="L14" s="226"/>
      <c r="M14" s="226"/>
      <c r="N14" s="226"/>
      <c r="O14" s="226"/>
    </row>
    <row r="15" spans="2:16" x14ac:dyDescent="0.15">
      <c r="B15" s="189"/>
      <c r="C15" s="189"/>
      <c r="D15" s="189"/>
      <c r="E15" s="189"/>
      <c r="F15" s="189"/>
      <c r="G15" s="189"/>
      <c r="H15" s="189"/>
      <c r="I15" s="189"/>
      <c r="J15" s="201"/>
      <c r="K15" s="201"/>
      <c r="L15" s="201"/>
      <c r="M15" s="189"/>
      <c r="N15" s="189"/>
      <c r="O15" s="189"/>
    </row>
    <row r="43" spans="1:16" x14ac:dyDescent="0.15">
      <c r="A43" s="30"/>
    </row>
    <row r="48" spans="1:16" x14ac:dyDescent="0.15">
      <c r="B48" s="233" t="s">
        <v>146</v>
      </c>
      <c r="C48" s="233"/>
      <c r="D48" s="233"/>
      <c r="E48" s="233"/>
      <c r="F48" s="233"/>
      <c r="G48" s="233"/>
      <c r="H48" s="42"/>
      <c r="I48" s="233" t="s">
        <v>176</v>
      </c>
      <c r="J48" s="233"/>
      <c r="K48" s="233"/>
      <c r="L48" s="233"/>
      <c r="M48" s="233"/>
      <c r="N48" s="233"/>
      <c r="O48" s="188"/>
      <c r="P48" s="42"/>
    </row>
    <row r="49" spans="2:16" x14ac:dyDescent="0.15">
      <c r="B49" s="42"/>
      <c r="C49" s="42"/>
      <c r="D49" s="42"/>
      <c r="E49" s="42"/>
      <c r="F49" s="42"/>
      <c r="G49" s="42"/>
      <c r="H49" s="42"/>
      <c r="I49" s="42"/>
      <c r="M49" s="42"/>
      <c r="N49" s="42"/>
      <c r="O49" s="42"/>
      <c r="P49" s="42"/>
    </row>
    <row r="50" spans="2:16" x14ac:dyDescent="0.15">
      <c r="B50" s="42"/>
      <c r="C50" s="42"/>
      <c r="D50" s="42"/>
      <c r="E50" s="42"/>
      <c r="F50" s="42"/>
      <c r="G50" s="42"/>
      <c r="H50" s="42"/>
      <c r="I50" s="42"/>
      <c r="M50" s="42"/>
      <c r="N50" s="42"/>
      <c r="O50" s="42"/>
      <c r="P50" s="42"/>
    </row>
    <row r="51" spans="2:16" x14ac:dyDescent="0.15">
      <c r="B51" s="42"/>
      <c r="C51" s="42"/>
      <c r="D51" s="42"/>
      <c r="E51" s="42"/>
      <c r="F51" s="42"/>
      <c r="G51" s="42"/>
      <c r="H51" s="42"/>
      <c r="I51" s="42"/>
      <c r="M51" s="42"/>
      <c r="N51" s="42"/>
      <c r="O51" s="42"/>
      <c r="P51" s="42"/>
    </row>
    <row r="52" spans="2:16" x14ac:dyDescent="0.15">
      <c r="B52" s="42"/>
      <c r="C52" s="42"/>
      <c r="D52" s="42"/>
      <c r="E52" s="42"/>
      <c r="F52" s="42"/>
      <c r="G52" s="42"/>
      <c r="H52" s="42"/>
      <c r="I52" s="42"/>
      <c r="M52" s="42"/>
      <c r="N52" s="42"/>
      <c r="O52" s="42"/>
      <c r="P52" s="42"/>
    </row>
    <row r="53" spans="2:16" x14ac:dyDescent="0.15">
      <c r="B53" s="42"/>
      <c r="C53" s="42"/>
      <c r="D53" s="42"/>
      <c r="E53" s="42"/>
      <c r="F53" s="42"/>
      <c r="G53" s="42"/>
      <c r="H53" s="42"/>
      <c r="I53" s="42"/>
      <c r="M53" s="42"/>
      <c r="N53" s="42"/>
      <c r="O53" s="42"/>
      <c r="P53" s="42"/>
    </row>
    <row r="54" spans="2:16" x14ac:dyDescent="0.15">
      <c r="B54" s="42"/>
      <c r="C54" s="42"/>
      <c r="D54" s="42"/>
      <c r="E54" s="42"/>
      <c r="F54" s="42"/>
      <c r="G54" s="42"/>
      <c r="H54" s="42"/>
      <c r="I54" s="42"/>
      <c r="M54" s="42"/>
      <c r="N54" s="42"/>
      <c r="O54" s="42"/>
      <c r="P54" s="42"/>
    </row>
    <row r="55" spans="2:16" x14ac:dyDescent="0.15">
      <c r="B55" s="42"/>
      <c r="C55" s="42"/>
      <c r="D55" s="42"/>
      <c r="E55" s="42"/>
      <c r="F55" s="42"/>
      <c r="G55" s="42"/>
      <c r="H55" s="42"/>
      <c r="I55" s="42"/>
      <c r="M55" s="42"/>
      <c r="N55" s="42"/>
      <c r="O55" s="42"/>
      <c r="P55" s="42"/>
    </row>
    <row r="56" spans="2:16" x14ac:dyDescent="0.15">
      <c r="B56" s="42"/>
      <c r="C56" s="42"/>
      <c r="D56" s="42"/>
      <c r="E56" s="42"/>
      <c r="F56" s="42"/>
      <c r="G56" s="42"/>
      <c r="H56" s="42"/>
      <c r="I56" s="42"/>
      <c r="M56" s="42"/>
      <c r="N56" s="42"/>
      <c r="O56" s="42"/>
      <c r="P56" s="42"/>
    </row>
    <row r="57" spans="2:16" x14ac:dyDescent="0.15">
      <c r="B57" s="42"/>
      <c r="C57" s="42"/>
      <c r="D57" s="42"/>
      <c r="E57" s="42"/>
      <c r="F57" s="42"/>
      <c r="G57" s="42"/>
      <c r="H57" s="42"/>
      <c r="I57" s="42"/>
      <c r="M57" s="42"/>
      <c r="N57" s="42"/>
      <c r="O57" s="42"/>
      <c r="P57" s="42"/>
    </row>
    <row r="58" spans="2:16" x14ac:dyDescent="0.15">
      <c r="B58" s="42"/>
      <c r="C58" s="42"/>
      <c r="D58" s="42"/>
      <c r="E58" s="42"/>
      <c r="F58" s="42"/>
      <c r="G58" s="42"/>
      <c r="H58" s="42"/>
      <c r="I58" s="42"/>
      <c r="M58" s="42"/>
      <c r="N58" s="42"/>
      <c r="O58" s="42"/>
      <c r="P58" s="42"/>
    </row>
    <row r="59" spans="2:16" x14ac:dyDescent="0.15">
      <c r="B59" s="42"/>
      <c r="C59" s="42"/>
      <c r="D59" s="42"/>
      <c r="E59" s="42"/>
      <c r="F59" s="42"/>
      <c r="G59" s="42"/>
      <c r="H59" s="42"/>
      <c r="I59" s="42"/>
      <c r="M59" s="42"/>
      <c r="N59" s="42"/>
      <c r="O59" s="42"/>
      <c r="P59" s="42"/>
    </row>
    <row r="60" spans="2:16" x14ac:dyDescent="0.15">
      <c r="B60" s="42"/>
      <c r="C60" s="42"/>
      <c r="D60" s="42"/>
      <c r="E60" s="42"/>
      <c r="F60" s="42"/>
      <c r="G60" s="42"/>
      <c r="H60" s="42"/>
      <c r="I60" s="42"/>
      <c r="M60" s="42"/>
      <c r="N60" s="42"/>
      <c r="O60" s="42"/>
      <c r="P60" s="42"/>
    </row>
    <row r="61" spans="2:16" x14ac:dyDescent="0.15">
      <c r="B61" s="42"/>
      <c r="C61" s="42"/>
      <c r="D61" s="42"/>
      <c r="E61" s="42"/>
      <c r="F61" s="42"/>
      <c r="G61" s="42"/>
      <c r="H61" s="42"/>
      <c r="I61" s="42"/>
      <c r="M61" s="42"/>
      <c r="N61" s="42"/>
      <c r="O61" s="42"/>
      <c r="P61" s="42"/>
    </row>
    <row r="62" spans="2:16" x14ac:dyDescent="0.15">
      <c r="B62" s="42"/>
      <c r="C62" s="42"/>
      <c r="D62" s="42"/>
      <c r="E62" s="42"/>
      <c r="F62" s="42"/>
      <c r="G62" s="42"/>
      <c r="H62" s="42"/>
      <c r="I62" s="42"/>
      <c r="M62" s="42"/>
      <c r="N62" s="42"/>
      <c r="O62" s="42"/>
      <c r="P62" s="42"/>
    </row>
    <row r="63" spans="2:16" x14ac:dyDescent="0.15">
      <c r="B63" s="42"/>
      <c r="C63" s="42"/>
      <c r="D63" s="42"/>
      <c r="E63" s="42"/>
      <c r="F63" s="42"/>
      <c r="G63" s="42"/>
      <c r="H63" s="42"/>
      <c r="I63" s="42"/>
      <c r="M63" s="42"/>
      <c r="N63" s="42"/>
      <c r="O63" s="42"/>
      <c r="P63" s="42"/>
    </row>
    <row r="64" spans="2:16" x14ac:dyDescent="0.15">
      <c r="B64" s="42"/>
      <c r="C64" s="42"/>
      <c r="D64" s="42"/>
      <c r="E64" s="42"/>
      <c r="F64" s="42"/>
      <c r="G64" s="42"/>
      <c r="H64" s="42"/>
      <c r="I64" s="42"/>
      <c r="M64" s="42"/>
      <c r="N64" s="42"/>
      <c r="O64" s="42"/>
      <c r="P64" s="42"/>
    </row>
    <row r="65" spans="2:16" x14ac:dyDescent="0.15">
      <c r="B65" s="42"/>
      <c r="C65" s="42"/>
      <c r="D65" s="42"/>
      <c r="E65" s="42"/>
      <c r="F65" s="42"/>
      <c r="G65" s="42"/>
      <c r="H65" s="42"/>
      <c r="I65" s="42"/>
      <c r="M65" s="42"/>
      <c r="N65" s="42"/>
      <c r="O65" s="42"/>
      <c r="P65" s="42"/>
    </row>
    <row r="66" spans="2:16" x14ac:dyDescent="0.15">
      <c r="B66" s="42"/>
      <c r="C66" s="42"/>
      <c r="D66" s="42"/>
      <c r="E66" s="42"/>
      <c r="F66" s="42"/>
      <c r="G66" s="42"/>
      <c r="H66" s="42"/>
      <c r="I66" s="42"/>
      <c r="M66" s="42"/>
      <c r="N66" s="42"/>
      <c r="O66" s="42"/>
      <c r="P66" s="42"/>
    </row>
    <row r="67" spans="2:16" x14ac:dyDescent="0.15">
      <c r="B67" s="42"/>
      <c r="C67" s="42"/>
      <c r="D67" s="42"/>
      <c r="E67" s="42"/>
      <c r="F67" s="42"/>
      <c r="G67" s="42"/>
      <c r="H67" s="42"/>
      <c r="I67" s="42"/>
      <c r="M67" s="42"/>
      <c r="N67" s="42"/>
      <c r="O67" s="42"/>
      <c r="P67" s="42"/>
    </row>
    <row r="68" spans="2:16" x14ac:dyDescent="0.15">
      <c r="B68" s="42"/>
      <c r="C68" s="42"/>
      <c r="D68" s="42"/>
      <c r="E68" s="42"/>
      <c r="F68" s="42"/>
      <c r="G68" s="42"/>
      <c r="H68" s="42"/>
      <c r="I68" s="42"/>
      <c r="M68" s="42"/>
      <c r="N68" s="42"/>
      <c r="O68" s="42"/>
      <c r="P68" s="42"/>
    </row>
    <row r="69" spans="2:16" x14ac:dyDescent="0.15">
      <c r="B69" s="42"/>
      <c r="C69" s="42"/>
      <c r="D69" s="42"/>
      <c r="E69" s="42"/>
      <c r="F69" s="42"/>
      <c r="G69" s="42"/>
      <c r="H69" s="42"/>
      <c r="I69" s="42"/>
      <c r="M69" s="42"/>
      <c r="N69" s="42"/>
      <c r="O69" s="42"/>
      <c r="P69" s="42"/>
    </row>
    <row r="70" spans="2:16" x14ac:dyDescent="0.15">
      <c r="B70" s="42"/>
      <c r="C70" s="42"/>
      <c r="D70" s="42"/>
      <c r="E70" s="42"/>
      <c r="F70" s="42"/>
      <c r="G70" s="42"/>
      <c r="H70" s="42"/>
      <c r="I70" s="42"/>
      <c r="M70" s="42"/>
      <c r="N70" s="42"/>
      <c r="O70" s="42"/>
      <c r="P70" s="42"/>
    </row>
    <row r="71" spans="2:16" x14ac:dyDescent="0.15">
      <c r="B71" s="42"/>
      <c r="C71" s="42"/>
      <c r="D71" s="42"/>
      <c r="E71" s="42"/>
      <c r="F71" s="42"/>
      <c r="G71" s="42"/>
      <c r="H71" s="42"/>
      <c r="I71" s="42"/>
      <c r="M71" s="42"/>
      <c r="N71" s="42"/>
      <c r="O71" s="42"/>
      <c r="P71" s="42"/>
    </row>
    <row r="72" spans="2:16" x14ac:dyDescent="0.15">
      <c r="B72" s="42"/>
      <c r="C72" s="42"/>
      <c r="D72" s="42"/>
      <c r="E72" s="42"/>
      <c r="F72" s="42"/>
      <c r="G72" s="42"/>
      <c r="H72" s="42"/>
      <c r="I72" s="42"/>
      <c r="M72" s="42"/>
      <c r="N72" s="42"/>
      <c r="O72" s="42"/>
      <c r="P72" s="42"/>
    </row>
    <row r="73" spans="2:16" x14ac:dyDescent="0.15">
      <c r="B73" s="42"/>
      <c r="C73" s="42"/>
      <c r="D73" s="42"/>
      <c r="E73" s="42"/>
      <c r="F73" s="42"/>
      <c r="G73" s="42"/>
      <c r="H73" s="42"/>
      <c r="I73" s="42"/>
      <c r="M73" s="42"/>
      <c r="N73" s="42"/>
      <c r="O73" s="42"/>
      <c r="P73" s="42"/>
    </row>
    <row r="74" spans="2:16" x14ac:dyDescent="0.15">
      <c r="B74" s="42"/>
      <c r="C74" s="42"/>
      <c r="D74" s="42"/>
      <c r="E74" s="42"/>
      <c r="F74" s="42"/>
      <c r="G74" s="42"/>
      <c r="H74" s="42"/>
      <c r="I74" s="42"/>
      <c r="M74" s="42"/>
      <c r="N74" s="42"/>
      <c r="O74" s="42"/>
      <c r="P74" s="42"/>
    </row>
    <row r="75" spans="2:16" x14ac:dyDescent="0.15">
      <c r="B75" s="42"/>
      <c r="C75" s="42"/>
      <c r="D75" s="42"/>
      <c r="E75" s="42"/>
      <c r="F75" s="42"/>
      <c r="G75" s="42"/>
      <c r="H75" s="42"/>
      <c r="I75" s="42"/>
      <c r="M75" s="42"/>
      <c r="N75" s="42"/>
      <c r="O75" s="42"/>
      <c r="P75" s="42"/>
    </row>
    <row r="76" spans="2:16" x14ac:dyDescent="0.15">
      <c r="B76" s="42"/>
      <c r="C76" s="42"/>
      <c r="D76" s="42"/>
      <c r="E76" s="42"/>
      <c r="F76" s="42"/>
      <c r="G76" s="42"/>
      <c r="H76" s="42"/>
      <c r="I76" s="42"/>
      <c r="M76" s="42"/>
      <c r="N76" s="42"/>
      <c r="O76" s="42"/>
      <c r="P76" s="42"/>
    </row>
    <row r="77" spans="2:16" x14ac:dyDescent="0.15">
      <c r="B77" s="42"/>
      <c r="C77" s="42"/>
      <c r="D77" s="42"/>
      <c r="E77" s="42"/>
      <c r="F77" s="42"/>
      <c r="G77" s="42"/>
      <c r="H77" s="42"/>
      <c r="I77" s="42"/>
      <c r="M77" s="42"/>
      <c r="N77" s="42"/>
      <c r="O77" s="42"/>
      <c r="P77" s="42"/>
    </row>
    <row r="78" spans="2:16" x14ac:dyDescent="0.15">
      <c r="B78" s="42"/>
      <c r="C78" s="42"/>
      <c r="D78" s="42"/>
      <c r="E78" s="42"/>
      <c r="F78" s="42"/>
      <c r="G78" s="42"/>
      <c r="H78" s="42"/>
      <c r="I78" s="42"/>
      <c r="M78" s="42"/>
      <c r="N78" s="42"/>
      <c r="O78" s="42"/>
      <c r="P78" s="42"/>
    </row>
  </sheetData>
  <sheetProtection algorithmName="SHA-512" hashValue="iSbvNYXaxKEivdIkDdCQGmC5DbqpzhfoJo/F6iB/Z9qPd/hEJoOAQZbDvFfJyJdq8ZE6TTOfryOFiiiLWJapzw==" saltValue="io4FRpgE+Uixs1fcTHiDGw==" spinCount="100000" sheet="1" objects="1" scenarios="1"/>
  <mergeCells count="7">
    <mergeCell ref="C2:I2"/>
    <mergeCell ref="I14:O14"/>
    <mergeCell ref="B14:G14"/>
    <mergeCell ref="B48:G48"/>
    <mergeCell ref="B2:B3"/>
    <mergeCell ref="I48:N48"/>
    <mergeCell ref="K3:N3"/>
  </mergeCells>
  <hyperlinks>
    <hyperlink ref="B2" location="I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3"/>
  <sheetViews>
    <sheetView showGridLines="0" zoomScale="90" zoomScaleNormal="90" workbookViewId="0">
      <selection activeCell="C7" sqref="C7"/>
    </sheetView>
  </sheetViews>
  <sheetFormatPr baseColWidth="10" defaultColWidth="11.42578125" defaultRowHeight="10.5" x14ac:dyDescent="0.15"/>
  <cols>
    <col min="1" max="1" width="2.7109375" style="3" customWidth="1"/>
    <col min="2" max="3" width="11.42578125" style="3"/>
    <col min="4" max="4" width="12.7109375" style="3" customWidth="1"/>
    <col min="5" max="127" width="11.42578125" style="3"/>
    <col min="128" max="128" width="8.5703125" style="3" customWidth="1"/>
    <col min="129" max="16384" width="11.42578125" style="3"/>
  </cols>
  <sheetData>
    <row r="2" spans="1:15" ht="11.25" x14ac:dyDescent="0.15">
      <c r="B2" s="225" t="s">
        <v>196</v>
      </c>
      <c r="C2" s="229" t="s">
        <v>197</v>
      </c>
      <c r="D2" s="230"/>
      <c r="E2" s="230"/>
      <c r="F2" s="230"/>
      <c r="G2" s="230"/>
      <c r="H2" s="231"/>
    </row>
    <row r="3" spans="1:15" ht="16.899999999999999" customHeight="1" x14ac:dyDescent="0.15">
      <c r="B3" s="225"/>
      <c r="J3" s="226" t="s">
        <v>202</v>
      </c>
      <c r="K3" s="226"/>
      <c r="L3" s="226"/>
      <c r="M3" s="226"/>
    </row>
    <row r="4" spans="1:15" ht="69.75" customHeight="1" x14ac:dyDescent="0.15">
      <c r="C4" s="202" t="s">
        <v>246</v>
      </c>
      <c r="D4" s="202" t="s">
        <v>247</v>
      </c>
      <c r="E4" s="202" t="s">
        <v>248</v>
      </c>
      <c r="F4" s="202" t="s">
        <v>108</v>
      </c>
      <c r="G4" s="202" t="s">
        <v>109</v>
      </c>
      <c r="H4" s="202" t="s">
        <v>110</v>
      </c>
    </row>
    <row r="5" spans="1:15" ht="11.25" thickBot="1" x14ac:dyDescent="0.2">
      <c r="B5" s="199"/>
      <c r="C5" s="27" t="s">
        <v>15</v>
      </c>
      <c r="D5" s="28" t="s">
        <v>15</v>
      </c>
      <c r="E5" s="28" t="s">
        <v>15</v>
      </c>
      <c r="F5" s="28" t="s">
        <v>82</v>
      </c>
      <c r="G5" s="27" t="s">
        <v>82</v>
      </c>
      <c r="H5" s="27" t="s">
        <v>82</v>
      </c>
    </row>
    <row r="6" spans="1:15" x14ac:dyDescent="0.15">
      <c r="B6" s="199">
        <v>2014</v>
      </c>
      <c r="C6" s="211">
        <f>+AVERAGE(Cálculos_capital!BI20:BI23)</f>
        <v>-0.44896576347156203</v>
      </c>
      <c r="D6" s="214">
        <f>+AVERAGE(Cálculos_capital!BJ13:BJ23)</f>
        <v>2.8361584935892314</v>
      </c>
      <c r="E6" s="214">
        <f>+AVERAGE(Cálculos_capital!BK13:BK23)</f>
        <v>3.4292354023534273</v>
      </c>
      <c r="F6" s="211">
        <f>+Cálculos_capital!CH23</f>
        <v>21</v>
      </c>
      <c r="G6" s="211">
        <f>+Cálculos_capital!CI23</f>
        <v>21.000000943601862</v>
      </c>
      <c r="H6" s="211">
        <f>+Cálculos_capital!CJ23</f>
        <v>20.999995739804284</v>
      </c>
    </row>
    <row r="7" spans="1:15" x14ac:dyDescent="0.15">
      <c r="B7" s="199">
        <v>2015</v>
      </c>
      <c r="C7" s="212">
        <f>+AVERAGE(Cálculos_capital!BI21:BI24)</f>
        <v>2.9053941601327162</v>
      </c>
      <c r="D7" s="212">
        <f>+AVERAGE(Cálculos_capital!BJ14:BJ24)</f>
        <v>2.4016906558957576</v>
      </c>
      <c r="E7" s="212">
        <f>+AVERAGE(Cálculos_capital!BK14:BK24)</f>
        <v>5.6997073675153862</v>
      </c>
      <c r="F7" s="212">
        <f>+Cálculos_capital!CH24</f>
        <v>21</v>
      </c>
      <c r="G7" s="212">
        <f>+Cálculos_capital!CI24</f>
        <v>21.000000943601862</v>
      </c>
      <c r="H7" s="212">
        <f>+Cálculos_capital!CJ24</f>
        <v>20.999995739804284</v>
      </c>
    </row>
    <row r="8" spans="1:15" x14ac:dyDescent="0.15">
      <c r="B8" s="199">
        <v>2016</v>
      </c>
      <c r="C8" s="212">
        <f>+AVERAGE(Cálculos_capital!BI22:BI25)</f>
        <v>-1.0837514940003412</v>
      </c>
      <c r="D8" s="212">
        <f>+AVERAGE(Cálculos_capital!BJ15:BJ25)</f>
        <v>2.247239040603719</v>
      </c>
      <c r="E8" s="212">
        <f>+AVERAGE(Cálculos_capital!BK15:BK25)</f>
        <v>4.2254068065132087</v>
      </c>
      <c r="F8" s="212">
        <f>+Cálculos_capital!CH25</f>
        <v>21</v>
      </c>
      <c r="G8" s="212">
        <f>+Cálculos_capital!CI25</f>
        <v>21.000000943601862</v>
      </c>
      <c r="H8" s="212">
        <f>+Cálculos_capital!CJ25</f>
        <v>20.999995739804284</v>
      </c>
    </row>
    <row r="9" spans="1:15" x14ac:dyDescent="0.15">
      <c r="B9" s="199">
        <v>2017</v>
      </c>
      <c r="C9" s="212">
        <f>+AVERAGE(Cálculos_capital!BI23:BI26)</f>
        <v>-0.4243650758393544</v>
      </c>
      <c r="D9" s="212">
        <f>+AVERAGE(Cálculos_capital!BJ16:BJ26)</f>
        <v>2.0630003366689573</v>
      </c>
      <c r="E9" s="212">
        <f>+AVERAGE(Cálculos_capital!BK16:BK26)</f>
        <v>2.7188896609379904</v>
      </c>
      <c r="F9" s="212">
        <f>+Cálculos_capital!CH26</f>
        <v>21</v>
      </c>
      <c r="G9" s="212">
        <f>+Cálculos_capital!CI26</f>
        <v>21.000000943601862</v>
      </c>
      <c r="H9" s="212">
        <f>+Cálculos_capital!CJ26</f>
        <v>20.999995739804284</v>
      </c>
    </row>
    <row r="10" spans="1:15" ht="11.25" thickBot="1" x14ac:dyDescent="0.2">
      <c r="B10" s="199">
        <v>2018</v>
      </c>
      <c r="C10" s="213">
        <f>+AVERAGE(Cálculos_capital!BI24:BI27)</f>
        <v>0.23707795670536469</v>
      </c>
      <c r="D10" s="213">
        <f>+AVERAGE(Cálculos_capital!BJ17:BJ27)</f>
        <v>1.854233900290714</v>
      </c>
      <c r="E10" s="213">
        <f>+AVERAGE(Cálculos_capital!BK17:BK27)</f>
        <v>0.72281414139636457</v>
      </c>
      <c r="F10" s="213">
        <f>+Cálculos_capital!CH27</f>
        <v>21</v>
      </c>
      <c r="G10" s="213">
        <f>+Cálculos_capital!CI27</f>
        <v>21.000000943601862</v>
      </c>
      <c r="H10" s="213">
        <f>+Cálculos_capital!CJ27</f>
        <v>20.999995739804284</v>
      </c>
    </row>
    <row r="11" spans="1:15" x14ac:dyDescent="0.15">
      <c r="B11" s="29"/>
    </row>
    <row r="12" spans="1:15" ht="11.25" x14ac:dyDescent="0.15">
      <c r="B12" s="198" t="s">
        <v>83</v>
      </c>
    </row>
    <row r="13" spans="1:15" x14ac:dyDescent="0.15">
      <c r="A13" s="42"/>
      <c r="B13" s="42"/>
      <c r="C13" s="42"/>
      <c r="D13" s="42"/>
      <c r="E13" s="42"/>
      <c r="F13" s="42"/>
      <c r="G13" s="42"/>
      <c r="H13" s="42"/>
      <c r="I13" s="42"/>
      <c r="J13" s="47"/>
      <c r="K13" s="47"/>
      <c r="L13" s="47"/>
      <c r="M13" s="42"/>
      <c r="N13" s="42"/>
      <c r="O13" s="42"/>
    </row>
    <row r="14" spans="1:15" x14ac:dyDescent="0.15">
      <c r="A14" s="42"/>
      <c r="B14" s="226" t="s">
        <v>198</v>
      </c>
      <c r="C14" s="226"/>
      <c r="D14" s="226"/>
      <c r="E14" s="226"/>
      <c r="F14" s="226"/>
      <c r="G14" s="226"/>
      <c r="H14" s="189"/>
      <c r="I14" s="226" t="s">
        <v>199</v>
      </c>
      <c r="J14" s="226"/>
      <c r="K14" s="226"/>
      <c r="L14" s="226"/>
      <c r="M14" s="226"/>
      <c r="N14" s="226"/>
      <c r="O14" s="226"/>
    </row>
    <row r="15" spans="1:15" x14ac:dyDescent="0.15">
      <c r="A15" s="42"/>
      <c r="B15" s="189"/>
      <c r="C15" s="189"/>
      <c r="D15" s="189"/>
      <c r="E15" s="189"/>
      <c r="F15" s="189"/>
      <c r="G15" s="189"/>
      <c r="H15" s="189"/>
      <c r="I15" s="189"/>
      <c r="J15" s="201"/>
      <c r="K15" s="201"/>
      <c r="L15" s="201"/>
      <c r="M15" s="189"/>
      <c r="N15" s="189"/>
      <c r="O15" s="189"/>
    </row>
    <row r="16" spans="1:15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7"/>
      <c r="K16" s="47"/>
      <c r="L16" s="47"/>
      <c r="M16" s="42"/>
      <c r="N16" s="42"/>
      <c r="O16" s="42"/>
    </row>
    <row r="17" spans="1:15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7"/>
      <c r="K17" s="47"/>
      <c r="L17" s="47"/>
      <c r="M17" s="42"/>
      <c r="N17" s="42"/>
      <c r="O17" s="42"/>
    </row>
    <row r="18" spans="1:15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7"/>
      <c r="K18" s="47"/>
      <c r="L18" s="47"/>
      <c r="M18" s="42"/>
      <c r="N18" s="42"/>
      <c r="O18" s="42"/>
    </row>
    <row r="19" spans="1:15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7"/>
      <c r="K19" s="47"/>
      <c r="L19" s="47"/>
      <c r="M19" s="42"/>
      <c r="N19" s="42"/>
      <c r="O19" s="42"/>
    </row>
    <row r="20" spans="1:15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7"/>
      <c r="K20" s="47"/>
      <c r="L20" s="47"/>
      <c r="M20" s="42"/>
      <c r="N20" s="42"/>
      <c r="O20" s="42"/>
    </row>
    <row r="21" spans="1:15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7"/>
      <c r="K21" s="47"/>
      <c r="L21" s="47"/>
      <c r="M21" s="42"/>
      <c r="N21" s="42"/>
      <c r="O21" s="42"/>
    </row>
    <row r="22" spans="1:15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7"/>
      <c r="K22" s="47"/>
      <c r="L22" s="47"/>
      <c r="M22" s="42"/>
      <c r="N22" s="42"/>
      <c r="O22" s="42"/>
    </row>
    <row r="23" spans="1:15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7"/>
      <c r="K23" s="47"/>
      <c r="L23" s="47"/>
      <c r="M23" s="42"/>
      <c r="N23" s="42"/>
      <c r="O23" s="42"/>
    </row>
    <row r="24" spans="1:15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7"/>
      <c r="K24" s="47"/>
      <c r="L24" s="47"/>
      <c r="M24" s="42"/>
      <c r="N24" s="42"/>
      <c r="O24" s="42"/>
    </row>
    <row r="25" spans="1:15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7"/>
      <c r="K25" s="47"/>
      <c r="L25" s="47"/>
      <c r="M25" s="42"/>
      <c r="N25" s="42"/>
      <c r="O25" s="42"/>
    </row>
    <row r="26" spans="1:15" x14ac:dyDescent="0.15">
      <c r="A26" s="42"/>
      <c r="B26" s="42"/>
      <c r="C26" s="42"/>
      <c r="D26" s="42"/>
      <c r="E26" s="42"/>
      <c r="F26" s="42"/>
      <c r="G26" s="42"/>
      <c r="H26" s="42"/>
      <c r="I26" s="42"/>
      <c r="J26" s="47"/>
      <c r="K26" s="47"/>
      <c r="L26" s="47"/>
      <c r="M26" s="42"/>
      <c r="N26" s="42"/>
      <c r="O26" s="42"/>
    </row>
    <row r="27" spans="1:15" x14ac:dyDescent="0.15">
      <c r="A27" s="42"/>
      <c r="B27" s="42"/>
      <c r="C27" s="42"/>
      <c r="D27" s="42"/>
      <c r="E27" s="42"/>
      <c r="F27" s="42"/>
      <c r="G27" s="42"/>
      <c r="H27" s="42"/>
      <c r="I27" s="42"/>
      <c r="J27" s="47"/>
      <c r="K27" s="47"/>
      <c r="L27" s="47"/>
      <c r="M27" s="42"/>
      <c r="N27" s="42"/>
      <c r="O27" s="42"/>
    </row>
    <row r="28" spans="1:15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7"/>
      <c r="K28" s="47"/>
      <c r="L28" s="47"/>
      <c r="M28" s="42"/>
      <c r="N28" s="42"/>
      <c r="O28" s="42"/>
    </row>
    <row r="29" spans="1:15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7"/>
      <c r="K29" s="47"/>
      <c r="L29" s="47"/>
      <c r="M29" s="42"/>
      <c r="N29" s="42"/>
      <c r="O29" s="42"/>
    </row>
    <row r="30" spans="1:15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7"/>
      <c r="K30" s="47"/>
      <c r="L30" s="47"/>
      <c r="M30" s="42"/>
      <c r="N30" s="42"/>
      <c r="O30" s="42"/>
    </row>
    <row r="31" spans="1:15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7"/>
      <c r="K31" s="47"/>
      <c r="L31" s="47"/>
      <c r="M31" s="42"/>
      <c r="N31" s="42"/>
      <c r="O31" s="42"/>
    </row>
    <row r="32" spans="1:15" x14ac:dyDescent="0.15">
      <c r="A32" s="42"/>
      <c r="B32" s="42"/>
      <c r="C32" s="42"/>
      <c r="D32" s="42"/>
      <c r="E32" s="42"/>
      <c r="F32" s="42"/>
      <c r="G32" s="42"/>
      <c r="H32" s="42"/>
      <c r="I32" s="42"/>
      <c r="J32" s="47"/>
      <c r="K32" s="47"/>
      <c r="L32" s="47"/>
      <c r="M32" s="42"/>
      <c r="N32" s="42"/>
      <c r="O32" s="42"/>
    </row>
    <row r="33" spans="1:15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7"/>
      <c r="K33" s="47"/>
      <c r="L33" s="47"/>
      <c r="M33" s="42"/>
      <c r="N33" s="42"/>
      <c r="O33" s="42"/>
    </row>
    <row r="34" spans="1:15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47"/>
      <c r="K34" s="47"/>
      <c r="L34" s="47"/>
      <c r="M34" s="42"/>
      <c r="N34" s="42"/>
      <c r="O34" s="42"/>
    </row>
    <row r="35" spans="1:15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7"/>
      <c r="K35" s="47"/>
      <c r="L35" s="47"/>
      <c r="M35" s="42"/>
      <c r="N35" s="42"/>
      <c r="O35" s="42"/>
    </row>
    <row r="36" spans="1:15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7"/>
      <c r="K36" s="47"/>
      <c r="L36" s="47"/>
      <c r="M36" s="42"/>
      <c r="N36" s="42"/>
      <c r="O36" s="42"/>
    </row>
    <row r="37" spans="1:15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7"/>
      <c r="K37" s="47"/>
      <c r="L37" s="47"/>
      <c r="M37" s="42"/>
      <c r="N37" s="42"/>
      <c r="O37" s="42"/>
    </row>
    <row r="38" spans="1:15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7"/>
      <c r="K38" s="47"/>
      <c r="L38" s="47"/>
      <c r="M38" s="42"/>
      <c r="N38" s="42"/>
      <c r="O38" s="42"/>
    </row>
    <row r="39" spans="1:15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7"/>
      <c r="K39" s="47"/>
      <c r="L39" s="47"/>
      <c r="M39" s="42"/>
      <c r="N39" s="42"/>
      <c r="O39" s="42"/>
    </row>
    <row r="40" spans="1:15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7"/>
      <c r="K40" s="47"/>
      <c r="L40" s="47"/>
      <c r="M40" s="42"/>
      <c r="N40" s="42"/>
      <c r="O40" s="42"/>
    </row>
    <row r="41" spans="1:15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7"/>
      <c r="K41" s="47"/>
      <c r="L41" s="47"/>
      <c r="M41" s="42"/>
      <c r="N41" s="42"/>
      <c r="O41" s="42"/>
    </row>
    <row r="42" spans="1:15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7"/>
      <c r="K42" s="47"/>
      <c r="L42" s="47"/>
      <c r="M42" s="42"/>
      <c r="N42" s="42"/>
      <c r="O42" s="42"/>
    </row>
    <row r="43" spans="1:15" x14ac:dyDescent="0.15">
      <c r="A43" s="30"/>
      <c r="B43" s="42"/>
      <c r="C43" s="42"/>
      <c r="D43" s="42"/>
      <c r="E43" s="42"/>
      <c r="F43" s="42"/>
      <c r="G43" s="42"/>
      <c r="H43" s="42"/>
      <c r="I43" s="42"/>
      <c r="J43" s="47"/>
      <c r="K43" s="47"/>
      <c r="L43" s="47"/>
      <c r="M43" s="42"/>
      <c r="N43" s="42"/>
      <c r="O43" s="42"/>
    </row>
    <row r="44" spans="1:15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7"/>
      <c r="K44" s="47"/>
      <c r="L44" s="47"/>
      <c r="M44" s="42"/>
      <c r="N44" s="42"/>
      <c r="O44" s="42"/>
    </row>
    <row r="45" spans="1:15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7"/>
      <c r="K45" s="47"/>
      <c r="L45" s="47"/>
      <c r="M45" s="42"/>
      <c r="N45" s="42"/>
      <c r="O45" s="42"/>
    </row>
    <row r="46" spans="1:15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7"/>
      <c r="K46" s="47"/>
      <c r="L46" s="47"/>
      <c r="M46" s="42"/>
      <c r="N46" s="42"/>
      <c r="O46" s="42"/>
    </row>
    <row r="47" spans="1:15" x14ac:dyDescent="0.15">
      <c r="A47" s="42"/>
      <c r="B47" s="42"/>
      <c r="C47" s="42"/>
      <c r="D47" s="42"/>
      <c r="E47" s="42"/>
      <c r="F47" s="42"/>
      <c r="G47" s="42"/>
      <c r="H47" s="42"/>
      <c r="I47" s="42"/>
      <c r="J47" s="47"/>
      <c r="K47" s="47"/>
      <c r="L47" s="47"/>
      <c r="M47" s="42"/>
      <c r="N47" s="42"/>
      <c r="O47" s="42"/>
    </row>
    <row r="48" spans="1:15" x14ac:dyDescent="0.15">
      <c r="A48" s="42"/>
      <c r="B48" s="233" t="s">
        <v>146</v>
      </c>
      <c r="C48" s="233"/>
      <c r="D48" s="233"/>
      <c r="E48" s="233"/>
      <c r="F48" s="233"/>
      <c r="G48" s="233"/>
      <c r="H48" s="42"/>
      <c r="I48" s="233" t="s">
        <v>176</v>
      </c>
      <c r="J48" s="233"/>
      <c r="K48" s="233"/>
      <c r="L48" s="233"/>
      <c r="M48" s="233"/>
      <c r="N48" s="233"/>
      <c r="O48" s="188"/>
    </row>
    <row r="49" spans="1:15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7"/>
      <c r="K49" s="47"/>
      <c r="L49" s="47"/>
      <c r="M49" s="42"/>
      <c r="N49" s="42"/>
      <c r="O49" s="42"/>
    </row>
    <row r="50" spans="1:15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7"/>
      <c r="K50" s="47"/>
      <c r="L50" s="47"/>
      <c r="M50" s="42"/>
      <c r="N50" s="42"/>
      <c r="O50" s="42"/>
    </row>
    <row r="51" spans="1:15" x14ac:dyDescent="0.15">
      <c r="A51" s="42"/>
      <c r="B51" s="42"/>
      <c r="C51" s="42"/>
      <c r="D51" s="42"/>
      <c r="E51" s="42"/>
      <c r="F51" s="42"/>
      <c r="G51" s="42"/>
      <c r="H51" s="42"/>
      <c r="I51" s="42"/>
      <c r="J51" s="47"/>
      <c r="K51" s="47"/>
      <c r="L51" s="47"/>
      <c r="M51" s="42"/>
      <c r="N51" s="42"/>
      <c r="O51" s="42"/>
    </row>
    <row r="52" spans="1:15" x14ac:dyDescent="0.15">
      <c r="A52" s="42"/>
      <c r="B52" s="42"/>
      <c r="C52" s="42"/>
      <c r="D52" s="42"/>
      <c r="E52" s="42"/>
      <c r="F52" s="42"/>
      <c r="G52" s="42"/>
      <c r="H52" s="42"/>
      <c r="I52" s="42"/>
      <c r="J52" s="47"/>
      <c r="K52" s="47"/>
      <c r="L52" s="47"/>
      <c r="M52" s="42"/>
      <c r="N52" s="42"/>
      <c r="O52" s="42"/>
    </row>
    <row r="53" spans="1:15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7"/>
      <c r="K53" s="47"/>
      <c r="L53" s="47"/>
      <c r="M53" s="42"/>
      <c r="N53" s="42"/>
      <c r="O53" s="42"/>
    </row>
    <row r="54" spans="1:15" x14ac:dyDescent="0.15">
      <c r="A54" s="42"/>
      <c r="B54" s="42"/>
      <c r="C54" s="42"/>
      <c r="D54" s="42"/>
      <c r="E54" s="42"/>
      <c r="F54" s="42"/>
      <c r="G54" s="42"/>
      <c r="H54" s="42"/>
      <c r="I54" s="42"/>
      <c r="J54" s="47"/>
      <c r="K54" s="47"/>
      <c r="L54" s="47"/>
      <c r="M54" s="42"/>
      <c r="N54" s="42"/>
      <c r="O54" s="42"/>
    </row>
    <row r="55" spans="1:15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7"/>
      <c r="K55" s="47"/>
      <c r="L55" s="47"/>
      <c r="M55" s="42"/>
      <c r="N55" s="42"/>
      <c r="O55" s="42"/>
    </row>
    <row r="56" spans="1:15" x14ac:dyDescent="0.15">
      <c r="A56" s="42"/>
      <c r="B56" s="42"/>
      <c r="C56" s="42"/>
      <c r="D56" s="42"/>
      <c r="E56" s="42"/>
      <c r="F56" s="42"/>
      <c r="G56" s="42"/>
      <c r="H56" s="42"/>
      <c r="I56" s="42"/>
      <c r="J56" s="47"/>
      <c r="K56" s="47"/>
      <c r="L56" s="47"/>
      <c r="M56" s="42"/>
      <c r="N56" s="42"/>
      <c r="O56" s="42"/>
    </row>
    <row r="57" spans="1:15" x14ac:dyDescent="0.15">
      <c r="A57" s="42"/>
      <c r="B57" s="42"/>
      <c r="C57" s="42"/>
      <c r="D57" s="42"/>
      <c r="E57" s="42"/>
      <c r="F57" s="42"/>
      <c r="G57" s="42"/>
      <c r="H57" s="42"/>
      <c r="I57" s="42"/>
      <c r="J57" s="47"/>
      <c r="K57" s="47"/>
      <c r="L57" s="47"/>
      <c r="M57" s="42"/>
      <c r="N57" s="42"/>
      <c r="O57" s="42"/>
    </row>
    <row r="58" spans="1:15" x14ac:dyDescent="0.15">
      <c r="A58" s="42"/>
      <c r="B58" s="42"/>
      <c r="C58" s="42"/>
      <c r="D58" s="42"/>
      <c r="E58" s="42"/>
      <c r="F58" s="42"/>
      <c r="G58" s="42"/>
      <c r="H58" s="42"/>
      <c r="I58" s="42"/>
      <c r="J58" s="47"/>
      <c r="K58" s="47"/>
      <c r="L58" s="47"/>
      <c r="M58" s="42"/>
      <c r="N58" s="42"/>
      <c r="O58" s="42"/>
    </row>
    <row r="59" spans="1:15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7"/>
      <c r="K59" s="47"/>
      <c r="L59" s="47"/>
      <c r="M59" s="42"/>
      <c r="N59" s="42"/>
      <c r="O59" s="42"/>
    </row>
    <row r="60" spans="1:15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7"/>
      <c r="K60" s="47"/>
      <c r="L60" s="47"/>
      <c r="M60" s="42"/>
      <c r="N60" s="42"/>
      <c r="O60" s="42"/>
    </row>
    <row r="61" spans="1:15" x14ac:dyDescent="0.15">
      <c r="A61" s="42"/>
      <c r="B61" s="42"/>
      <c r="C61" s="42"/>
      <c r="D61" s="42"/>
      <c r="E61" s="42"/>
      <c r="F61" s="42"/>
      <c r="G61" s="42"/>
      <c r="H61" s="42"/>
      <c r="I61" s="42"/>
      <c r="J61" s="47"/>
      <c r="K61" s="47"/>
      <c r="L61" s="47"/>
      <c r="M61" s="42"/>
      <c r="N61" s="42"/>
      <c r="O61" s="42"/>
    </row>
    <row r="62" spans="1:15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7"/>
      <c r="K62" s="47"/>
      <c r="L62" s="47"/>
      <c r="M62" s="42"/>
      <c r="N62" s="42"/>
      <c r="O62" s="42"/>
    </row>
    <row r="63" spans="1:15" x14ac:dyDescent="0.15">
      <c r="A63" s="42"/>
      <c r="B63" s="42"/>
      <c r="C63" s="42"/>
      <c r="D63" s="42"/>
      <c r="E63" s="42"/>
      <c r="F63" s="42"/>
      <c r="G63" s="42"/>
      <c r="H63" s="42"/>
      <c r="I63" s="42"/>
      <c r="J63" s="47"/>
      <c r="K63" s="47"/>
      <c r="L63" s="47"/>
      <c r="M63" s="42"/>
      <c r="N63" s="42"/>
      <c r="O63" s="42"/>
    </row>
    <row r="64" spans="1:15" x14ac:dyDescent="0.15">
      <c r="A64" s="42"/>
      <c r="B64" s="42"/>
      <c r="C64" s="42"/>
      <c r="D64" s="42"/>
      <c r="E64" s="42"/>
      <c r="F64" s="42"/>
      <c r="G64" s="42"/>
      <c r="H64" s="42"/>
      <c r="I64" s="42"/>
      <c r="J64" s="47"/>
      <c r="K64" s="47"/>
      <c r="L64" s="47"/>
      <c r="M64" s="42"/>
      <c r="N64" s="42"/>
      <c r="O64" s="42"/>
    </row>
    <row r="65" spans="1:15" x14ac:dyDescent="0.15">
      <c r="A65" s="42"/>
      <c r="B65" s="42"/>
      <c r="C65" s="42"/>
      <c r="D65" s="42"/>
      <c r="E65" s="42"/>
      <c r="F65" s="42"/>
      <c r="G65" s="42"/>
      <c r="H65" s="42"/>
      <c r="I65" s="42"/>
      <c r="J65" s="47"/>
      <c r="K65" s="47"/>
      <c r="L65" s="47"/>
      <c r="M65" s="42"/>
      <c r="N65" s="42"/>
      <c r="O65" s="42"/>
    </row>
    <row r="66" spans="1:15" x14ac:dyDescent="0.15">
      <c r="A66" s="42"/>
      <c r="B66" s="42"/>
      <c r="C66" s="42"/>
      <c r="D66" s="42"/>
      <c r="E66" s="42"/>
      <c r="F66" s="42"/>
      <c r="G66" s="42"/>
      <c r="H66" s="42"/>
      <c r="I66" s="42"/>
      <c r="J66" s="47"/>
      <c r="K66" s="47"/>
      <c r="L66" s="47"/>
      <c r="M66" s="42"/>
      <c r="N66" s="42"/>
      <c r="O66" s="42"/>
    </row>
    <row r="67" spans="1:15" x14ac:dyDescent="0.15">
      <c r="A67" s="42"/>
      <c r="B67" s="42"/>
      <c r="C67" s="42"/>
      <c r="D67" s="42"/>
      <c r="E67" s="42"/>
      <c r="F67" s="42"/>
      <c r="G67" s="42"/>
      <c r="H67" s="42"/>
      <c r="I67" s="42"/>
      <c r="J67" s="47"/>
      <c r="K67" s="47"/>
      <c r="L67" s="47"/>
      <c r="M67" s="42"/>
      <c r="N67" s="42"/>
      <c r="O67" s="42"/>
    </row>
    <row r="68" spans="1:15" x14ac:dyDescent="0.15">
      <c r="A68" s="42"/>
      <c r="B68" s="42"/>
      <c r="C68" s="42"/>
      <c r="D68" s="42"/>
      <c r="E68" s="42"/>
      <c r="F68" s="42"/>
      <c r="G68" s="42"/>
      <c r="H68" s="42"/>
      <c r="I68" s="42"/>
      <c r="J68" s="47"/>
      <c r="K68" s="47"/>
      <c r="L68" s="47"/>
      <c r="M68" s="42"/>
      <c r="N68" s="42"/>
      <c r="O68" s="42"/>
    </row>
    <row r="69" spans="1:15" x14ac:dyDescent="0.15">
      <c r="A69" s="42"/>
      <c r="B69" s="42"/>
      <c r="C69" s="42"/>
      <c r="D69" s="42"/>
      <c r="E69" s="42"/>
      <c r="F69" s="42"/>
      <c r="G69" s="42"/>
      <c r="H69" s="42"/>
      <c r="I69" s="42"/>
      <c r="J69" s="47"/>
      <c r="K69" s="47"/>
      <c r="L69" s="47"/>
      <c r="M69" s="42"/>
      <c r="N69" s="42"/>
      <c r="O69" s="42"/>
    </row>
    <row r="70" spans="1:15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7"/>
      <c r="K70" s="47"/>
      <c r="L70" s="47"/>
      <c r="M70" s="42"/>
      <c r="N70" s="42"/>
      <c r="O70" s="42"/>
    </row>
    <row r="71" spans="1:15" x14ac:dyDescent="0.15">
      <c r="A71" s="42"/>
      <c r="B71" s="42"/>
      <c r="C71" s="42"/>
      <c r="D71" s="42"/>
      <c r="E71" s="42"/>
      <c r="F71" s="42"/>
      <c r="G71" s="42"/>
      <c r="H71" s="42"/>
      <c r="I71" s="42"/>
      <c r="J71" s="47"/>
      <c r="K71" s="47"/>
      <c r="L71" s="47"/>
      <c r="M71" s="42"/>
      <c r="N71" s="42"/>
      <c r="O71" s="42"/>
    </row>
    <row r="72" spans="1:15" x14ac:dyDescent="0.15">
      <c r="A72" s="42"/>
      <c r="B72" s="42"/>
      <c r="C72" s="42"/>
      <c r="D72" s="42"/>
      <c r="E72" s="42"/>
      <c r="F72" s="42"/>
      <c r="G72" s="42"/>
      <c r="H72" s="42"/>
      <c r="I72" s="42"/>
      <c r="J72" s="47"/>
      <c r="K72" s="47"/>
      <c r="L72" s="47"/>
      <c r="M72" s="42"/>
      <c r="N72" s="42"/>
      <c r="O72" s="42"/>
    </row>
    <row r="73" spans="1:15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7"/>
      <c r="K73" s="47"/>
      <c r="L73" s="47"/>
      <c r="M73" s="42"/>
      <c r="N73" s="42"/>
      <c r="O73" s="42"/>
    </row>
    <row r="74" spans="1:15" x14ac:dyDescent="0.15">
      <c r="A74" s="42"/>
      <c r="B74" s="42"/>
      <c r="C74" s="42"/>
      <c r="D74" s="42"/>
      <c r="E74" s="42"/>
      <c r="F74" s="42"/>
      <c r="G74" s="42"/>
      <c r="H74" s="42"/>
      <c r="I74" s="42"/>
      <c r="J74" s="47"/>
      <c r="K74" s="47"/>
      <c r="L74" s="47"/>
      <c r="M74" s="42"/>
      <c r="N74" s="42"/>
      <c r="O74" s="42"/>
    </row>
    <row r="75" spans="1:15" x14ac:dyDescent="0.15">
      <c r="A75" s="42"/>
      <c r="B75" s="42"/>
      <c r="C75" s="42"/>
      <c r="D75" s="42"/>
      <c r="E75" s="42"/>
      <c r="F75" s="42"/>
      <c r="G75" s="42"/>
      <c r="H75" s="42"/>
      <c r="I75" s="42"/>
      <c r="J75" s="47"/>
      <c r="K75" s="47"/>
      <c r="L75" s="47"/>
      <c r="M75" s="42"/>
      <c r="N75" s="42"/>
      <c r="O75" s="42"/>
    </row>
    <row r="76" spans="1:15" x14ac:dyDescent="0.15">
      <c r="A76" s="42"/>
      <c r="B76" s="42"/>
      <c r="C76" s="42"/>
      <c r="D76" s="42"/>
      <c r="E76" s="42"/>
      <c r="F76" s="42"/>
      <c r="G76" s="42"/>
      <c r="H76" s="42"/>
      <c r="I76" s="42"/>
      <c r="J76" s="47"/>
      <c r="K76" s="47"/>
      <c r="L76" s="47"/>
      <c r="M76" s="42"/>
      <c r="N76" s="42"/>
      <c r="O76" s="42"/>
    </row>
    <row r="77" spans="1:15" x14ac:dyDescent="0.15">
      <c r="A77" s="42"/>
      <c r="B77" s="42"/>
      <c r="C77" s="42"/>
      <c r="D77" s="42"/>
      <c r="E77" s="42"/>
      <c r="F77" s="42"/>
      <c r="G77" s="42"/>
      <c r="H77" s="42"/>
      <c r="I77" s="42"/>
      <c r="J77" s="47"/>
      <c r="K77" s="47"/>
      <c r="L77" s="47"/>
      <c r="M77" s="42"/>
      <c r="N77" s="42"/>
      <c r="O77" s="42"/>
    </row>
    <row r="78" spans="1:15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7"/>
      <c r="K78" s="47"/>
      <c r="L78" s="47"/>
      <c r="M78" s="42"/>
      <c r="N78" s="42"/>
      <c r="O78" s="42"/>
    </row>
    <row r="79" spans="1:15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7"/>
      <c r="K79" s="47"/>
      <c r="L79" s="47"/>
      <c r="M79" s="42"/>
      <c r="N79" s="42"/>
      <c r="O79" s="42"/>
    </row>
    <row r="80" spans="1:15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7"/>
      <c r="K80" s="47"/>
      <c r="L80" s="47"/>
      <c r="M80" s="42"/>
      <c r="N80" s="42"/>
      <c r="O80" s="42"/>
    </row>
    <row r="81" spans="1:15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7"/>
      <c r="K81" s="47"/>
      <c r="L81" s="47"/>
      <c r="M81" s="42"/>
      <c r="N81" s="42"/>
      <c r="O81" s="42"/>
    </row>
    <row r="82" spans="1:15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7"/>
      <c r="K82" s="47"/>
      <c r="L82" s="47"/>
      <c r="M82" s="42"/>
      <c r="N82" s="42"/>
      <c r="O82" s="42"/>
    </row>
    <row r="83" spans="1:15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7"/>
      <c r="K83" s="47"/>
      <c r="L83" s="47"/>
      <c r="M83" s="42"/>
      <c r="N83" s="42"/>
      <c r="O83" s="42"/>
    </row>
  </sheetData>
  <sheetProtection algorithmName="SHA-512" hashValue="+Qlki/dTh2SLTxO4GKy5KBrkcGaWHs/JWdaWqWEGBAYhAGXkXyP2shhbCK+wVVsKhRzZgLilWzRXGc1xXsWyuQ==" saltValue="rch6RnRYd4kzoXk1Tgdp9A==" spinCount="100000" sheet="1" objects="1" scenarios="1"/>
  <mergeCells count="7">
    <mergeCell ref="B48:G48"/>
    <mergeCell ref="I48:N48"/>
    <mergeCell ref="J3:M3"/>
    <mergeCell ref="C2:H2"/>
    <mergeCell ref="B2:B3"/>
    <mergeCell ref="B14:G14"/>
    <mergeCell ref="I14:O14"/>
  </mergeCells>
  <hyperlinks>
    <hyperlink ref="B2" location="I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1"/>
  <sheetViews>
    <sheetView showGridLines="0" zoomScale="90" zoomScaleNormal="90" workbookViewId="0">
      <selection activeCell="F13" sqref="F13"/>
    </sheetView>
  </sheetViews>
  <sheetFormatPr baseColWidth="10" defaultColWidth="11.42578125" defaultRowHeight="10.5" x14ac:dyDescent="0.15"/>
  <cols>
    <col min="1" max="1" width="2.7109375" style="3" customWidth="1"/>
    <col min="2" max="2" width="11" style="3" customWidth="1"/>
    <col min="3" max="7" width="11.42578125" style="3"/>
    <col min="8" max="10" width="11.42578125" style="3" customWidth="1"/>
    <col min="11" max="11" width="11.42578125" style="3"/>
    <col min="12" max="12" width="4.5703125" style="3" customWidth="1"/>
    <col min="13" max="127" width="11.42578125" style="3"/>
    <col min="128" max="128" width="8.5703125" style="3" customWidth="1"/>
    <col min="129" max="16384" width="11.42578125" style="3"/>
  </cols>
  <sheetData>
    <row r="2" spans="2:15" ht="11.45" customHeight="1" x14ac:dyDescent="0.15">
      <c r="B2" s="26"/>
      <c r="C2" s="229" t="s">
        <v>197</v>
      </c>
      <c r="D2" s="230"/>
      <c r="E2" s="230"/>
      <c r="F2" s="231"/>
      <c r="H2" s="226" t="s">
        <v>203</v>
      </c>
      <c r="I2" s="226"/>
      <c r="J2" s="226"/>
      <c r="K2" s="226"/>
      <c r="L2" s="226"/>
    </row>
    <row r="3" spans="2:15" ht="29.25" thickBot="1" x14ac:dyDescent="0.2">
      <c r="B3" s="183" t="s">
        <v>196</v>
      </c>
      <c r="D3" s="203"/>
      <c r="E3" s="203"/>
      <c r="F3" s="203"/>
      <c r="G3" s="203"/>
      <c r="H3" s="203"/>
    </row>
    <row r="4" spans="2:15" ht="69.75" customHeight="1" x14ac:dyDescent="0.15">
      <c r="C4" s="190" t="s">
        <v>250</v>
      </c>
      <c r="D4" s="191" t="s">
        <v>251</v>
      </c>
      <c r="E4" s="191" t="s">
        <v>126</v>
      </c>
      <c r="F4" s="192" t="s">
        <v>127</v>
      </c>
    </row>
    <row r="5" spans="2:15" ht="11.25" thickBot="1" x14ac:dyDescent="0.2">
      <c r="C5" s="158" t="s">
        <v>15</v>
      </c>
      <c r="D5" s="28" t="s">
        <v>15</v>
      </c>
      <c r="E5" s="27" t="s">
        <v>82</v>
      </c>
      <c r="F5" s="159" t="s">
        <v>82</v>
      </c>
    </row>
    <row r="6" spans="2:15" x14ac:dyDescent="0.15">
      <c r="B6" s="199">
        <v>2014</v>
      </c>
      <c r="C6" s="211">
        <f>+AVERAGE(Cálculos_actividad_eco!AJ7:AJ23)</f>
        <v>1.2153722789453341</v>
      </c>
      <c r="D6" s="211">
        <f>+AVERAGE(Cálculos_actividad_eco!AK7:AK23)</f>
        <v>0.30734592127851279</v>
      </c>
      <c r="E6" s="211">
        <f>+Cálculos_actividad_eco!BD23</f>
        <v>19.590019612650146</v>
      </c>
      <c r="F6" s="211">
        <f>+Cálculos_actividad_eco!BE23</f>
        <v>7.6333905062742193</v>
      </c>
    </row>
    <row r="7" spans="2:15" x14ac:dyDescent="0.15">
      <c r="B7" s="199">
        <v>2015</v>
      </c>
      <c r="C7" s="212">
        <f>+AVERAGE(Cálculos_actividad_eco!AJ8:AJ24)</f>
        <v>1.078078694693325</v>
      </c>
      <c r="D7" s="212">
        <f>+AVERAGE(Cálculos_actividad_eco!AK8:AK24)</f>
        <v>-0.77617434692725018</v>
      </c>
      <c r="E7" s="212">
        <f>+Cálculos_actividad_eco!BD24</f>
        <v>19.590019612650146</v>
      </c>
      <c r="F7" s="212">
        <f>+Cálculos_actividad_eco!BE24</f>
        <v>7.6333905062742193</v>
      </c>
    </row>
    <row r="8" spans="2:15" x14ac:dyDescent="0.15">
      <c r="B8" s="199">
        <v>2016</v>
      </c>
      <c r="C8" s="212">
        <f>+AVERAGE(Cálculos_actividad_eco!AJ9:AJ25)</f>
        <v>0.89256247051239901</v>
      </c>
      <c r="D8" s="212">
        <f>+AVERAGE(Cálculos_actividad_eco!AK9:AK25)</f>
        <v>-2.0078188654467559</v>
      </c>
      <c r="E8" s="212">
        <f>+Cálculos_actividad_eco!BD25</f>
        <v>19.590019612650146</v>
      </c>
      <c r="F8" s="212">
        <f>+Cálculos_actividad_eco!BE25</f>
        <v>7.6333905062742193</v>
      </c>
    </row>
    <row r="9" spans="2:15" x14ac:dyDescent="0.15">
      <c r="B9" s="199">
        <v>2017</v>
      </c>
      <c r="C9" s="212">
        <f>+AVERAGE(Cálculos_actividad_eco!AJ10:AJ26)</f>
        <v>0.67378363743917391</v>
      </c>
      <c r="D9" s="212">
        <f>+AVERAGE(Cálculos_actividad_eco!AK10:AK26)</f>
        <v>-3.1726130004276509</v>
      </c>
      <c r="E9" s="212">
        <f>+Cálculos_actividad_eco!BD26</f>
        <v>19.590019612650146</v>
      </c>
      <c r="F9" s="212">
        <f>+Cálculos_actividad_eco!BE26</f>
        <v>7.6333905062742193</v>
      </c>
    </row>
    <row r="10" spans="2:15" ht="11.25" thickBot="1" x14ac:dyDescent="0.2">
      <c r="B10" s="199">
        <v>2018</v>
      </c>
      <c r="C10" s="213">
        <f>+AVERAGE(Cálculos_actividad_eco!AJ11:AJ27)</f>
        <v>0.4279495878719986</v>
      </c>
      <c r="D10" s="213">
        <f>+AVERAGE(Cálculos_actividad_eco!AK11:AK27)</f>
        <v>-4.3511450908274565</v>
      </c>
      <c r="E10" s="213">
        <f>+Cálculos_actividad_eco!BD27</f>
        <v>19.590019612650146</v>
      </c>
      <c r="F10" s="213">
        <f>+Cálculos_actividad_eco!BE27</f>
        <v>7.6333905062742193</v>
      </c>
    </row>
    <row r="11" spans="2:15" x14ac:dyDescent="0.15">
      <c r="B11" s="29"/>
    </row>
    <row r="12" spans="2:15" ht="11.25" x14ac:dyDescent="0.15">
      <c r="B12" s="198" t="s">
        <v>83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x14ac:dyDescent="0.15">
      <c r="B13" s="42"/>
      <c r="C13" s="42"/>
      <c r="D13" s="42"/>
      <c r="E13" s="42"/>
      <c r="F13" s="42"/>
      <c r="G13" s="42"/>
      <c r="H13" s="42"/>
      <c r="I13" s="42"/>
      <c r="J13" s="47"/>
      <c r="K13" s="47"/>
      <c r="L13" s="47"/>
      <c r="M13" s="42"/>
      <c r="N13" s="42"/>
      <c r="O13" s="42"/>
    </row>
    <row r="14" spans="2:15" s="204" customFormat="1" x14ac:dyDescent="0.15">
      <c r="C14" s="207"/>
      <c r="D14" s="205"/>
      <c r="E14" s="205"/>
      <c r="F14" s="205"/>
      <c r="G14" s="205"/>
      <c r="H14" s="206"/>
      <c r="J14" s="205"/>
      <c r="K14" s="205"/>
      <c r="L14" s="205"/>
      <c r="M14" s="205"/>
      <c r="N14" s="205"/>
      <c r="O14" s="205"/>
    </row>
    <row r="15" spans="2:15" x14ac:dyDescent="0.15">
      <c r="B15" s="189"/>
      <c r="C15" s="189"/>
      <c r="D15" s="189"/>
      <c r="E15" s="189"/>
      <c r="F15" s="189"/>
      <c r="G15" s="189"/>
      <c r="H15" s="189"/>
      <c r="I15" s="189"/>
      <c r="J15" s="201"/>
      <c r="K15" s="201"/>
      <c r="L15" s="201"/>
      <c r="M15" s="189"/>
      <c r="N15" s="189"/>
      <c r="O15" s="189"/>
    </row>
    <row r="16" spans="2:15" x14ac:dyDescent="0.15">
      <c r="B16" s="42"/>
      <c r="C16" s="42"/>
      <c r="D16" s="42"/>
      <c r="E16" s="42"/>
      <c r="F16" s="42"/>
      <c r="G16" s="42"/>
      <c r="H16" s="42"/>
      <c r="I16" s="42"/>
      <c r="J16" s="47"/>
      <c r="K16" s="47"/>
      <c r="L16" s="47"/>
      <c r="M16" s="42"/>
      <c r="N16" s="42"/>
      <c r="O16" s="42"/>
    </row>
    <row r="17" spans="2:15" x14ac:dyDescent="0.15">
      <c r="B17" s="42"/>
      <c r="C17" s="42"/>
      <c r="D17" s="42"/>
      <c r="E17" s="42"/>
      <c r="F17" s="42"/>
      <c r="G17" s="42"/>
      <c r="H17" s="42"/>
      <c r="I17" s="42"/>
      <c r="J17" s="47"/>
      <c r="K17" s="47"/>
      <c r="L17" s="47"/>
      <c r="M17" s="42"/>
      <c r="N17" s="42"/>
      <c r="O17" s="42"/>
    </row>
    <row r="18" spans="2:15" x14ac:dyDescent="0.15">
      <c r="B18" s="42"/>
      <c r="C18" s="42"/>
      <c r="D18" s="42"/>
      <c r="E18" s="42"/>
      <c r="F18" s="42"/>
      <c r="G18" s="42"/>
      <c r="H18" s="42"/>
      <c r="I18" s="42"/>
      <c r="J18" s="47"/>
      <c r="K18" s="47"/>
      <c r="L18" s="47"/>
      <c r="M18" s="42"/>
      <c r="N18" s="42"/>
      <c r="O18" s="42"/>
    </row>
    <row r="19" spans="2:15" x14ac:dyDescent="0.15">
      <c r="B19" s="42"/>
      <c r="C19" s="42"/>
      <c r="D19" s="42"/>
      <c r="E19" s="42"/>
      <c r="F19" s="42"/>
      <c r="G19" s="42"/>
      <c r="H19" s="42"/>
      <c r="I19" s="42"/>
      <c r="J19" s="47"/>
      <c r="K19" s="47"/>
      <c r="L19" s="47"/>
      <c r="M19" s="42"/>
      <c r="N19" s="42"/>
      <c r="O19" s="42"/>
    </row>
    <row r="20" spans="2:15" x14ac:dyDescent="0.15">
      <c r="B20" s="42"/>
      <c r="C20" s="42"/>
      <c r="D20" s="42"/>
      <c r="E20" s="42"/>
      <c r="F20" s="42"/>
      <c r="G20" s="42"/>
      <c r="H20" s="42"/>
      <c r="I20" s="42"/>
      <c r="J20" s="47"/>
      <c r="K20" s="47"/>
      <c r="L20" s="47"/>
      <c r="M20" s="42"/>
      <c r="N20" s="42"/>
      <c r="O20" s="42"/>
    </row>
    <row r="21" spans="2:15" x14ac:dyDescent="0.15">
      <c r="B21" s="42"/>
      <c r="C21" s="42"/>
      <c r="D21" s="42"/>
      <c r="E21" s="42"/>
      <c r="F21" s="42"/>
      <c r="G21" s="42"/>
      <c r="H21" s="42"/>
      <c r="I21" s="42"/>
      <c r="J21" s="47"/>
      <c r="K21" s="47"/>
      <c r="L21" s="47"/>
      <c r="M21" s="42"/>
      <c r="N21" s="42"/>
      <c r="O21" s="42"/>
    </row>
    <row r="22" spans="2:15" x14ac:dyDescent="0.15">
      <c r="B22" s="42"/>
      <c r="C22" s="42"/>
      <c r="D22" s="42"/>
      <c r="E22" s="42"/>
      <c r="F22" s="42"/>
      <c r="G22" s="42"/>
      <c r="H22" s="42"/>
      <c r="I22" s="42"/>
      <c r="J22" s="47"/>
      <c r="K22" s="47"/>
      <c r="L22" s="47"/>
      <c r="M22" s="42"/>
      <c r="N22" s="42"/>
      <c r="O22" s="42"/>
    </row>
    <row r="23" spans="2:15" x14ac:dyDescent="0.15">
      <c r="B23" s="42"/>
      <c r="C23" s="42"/>
      <c r="D23" s="42"/>
      <c r="E23" s="42"/>
      <c r="F23" s="42"/>
      <c r="G23" s="42"/>
      <c r="H23" s="42"/>
      <c r="I23" s="42"/>
      <c r="J23" s="47"/>
      <c r="K23" s="47"/>
      <c r="L23" s="47"/>
      <c r="M23" s="42"/>
      <c r="N23" s="42"/>
      <c r="O23" s="42"/>
    </row>
    <row r="24" spans="2:15" x14ac:dyDescent="0.15">
      <c r="B24" s="42"/>
      <c r="C24" s="42"/>
      <c r="D24" s="42"/>
      <c r="E24" s="42"/>
      <c r="F24" s="42"/>
      <c r="G24" s="42"/>
      <c r="H24" s="42"/>
      <c r="I24" s="42"/>
      <c r="J24" s="47"/>
      <c r="K24" s="47"/>
      <c r="L24" s="47"/>
      <c r="M24" s="42"/>
      <c r="N24" s="42"/>
      <c r="O24" s="42"/>
    </row>
    <row r="25" spans="2:15" x14ac:dyDescent="0.15">
      <c r="B25" s="42"/>
      <c r="C25" s="42"/>
      <c r="D25" s="42"/>
      <c r="E25" s="42"/>
      <c r="F25" s="42"/>
      <c r="G25" s="42"/>
      <c r="H25" s="42"/>
      <c r="I25" s="42"/>
      <c r="J25" s="47"/>
      <c r="K25" s="47"/>
      <c r="L25" s="47"/>
      <c r="M25" s="42"/>
      <c r="N25" s="42"/>
      <c r="O25" s="42"/>
    </row>
    <row r="26" spans="2:15" x14ac:dyDescent="0.15">
      <c r="B26" s="42"/>
      <c r="C26" s="42"/>
      <c r="D26" s="42"/>
      <c r="E26" s="42"/>
      <c r="F26" s="42"/>
      <c r="G26" s="42"/>
      <c r="H26" s="42"/>
      <c r="I26" s="42"/>
      <c r="J26" s="47"/>
      <c r="K26" s="47"/>
      <c r="L26" s="47"/>
      <c r="M26" s="42"/>
      <c r="N26" s="42"/>
      <c r="O26" s="42"/>
    </row>
    <row r="27" spans="2:15" x14ac:dyDescent="0.15">
      <c r="B27" s="42"/>
      <c r="C27" s="42"/>
      <c r="D27" s="42"/>
      <c r="E27" s="42"/>
      <c r="F27" s="42"/>
      <c r="G27" s="42"/>
      <c r="H27" s="42"/>
      <c r="I27" s="42"/>
      <c r="J27" s="47"/>
      <c r="K27" s="47"/>
      <c r="L27" s="47"/>
      <c r="M27" s="42"/>
      <c r="N27" s="42"/>
      <c r="O27" s="42"/>
    </row>
    <row r="28" spans="2:15" x14ac:dyDescent="0.15">
      <c r="B28" s="42"/>
      <c r="C28" s="42"/>
      <c r="D28" s="42"/>
      <c r="E28" s="42"/>
      <c r="F28" s="42"/>
      <c r="G28" s="42"/>
      <c r="H28" s="42"/>
      <c r="I28" s="42"/>
      <c r="J28" s="47"/>
      <c r="K28" s="47"/>
      <c r="L28" s="47"/>
      <c r="M28" s="42"/>
      <c r="N28" s="42"/>
      <c r="O28" s="42"/>
    </row>
    <row r="29" spans="2:15" x14ac:dyDescent="0.15">
      <c r="B29" s="42"/>
      <c r="C29" s="42"/>
      <c r="D29" s="42"/>
      <c r="E29" s="42"/>
      <c r="F29" s="42"/>
      <c r="G29" s="42"/>
      <c r="H29" s="42"/>
      <c r="I29" s="42"/>
      <c r="J29" s="47"/>
      <c r="K29" s="47"/>
      <c r="L29" s="47"/>
      <c r="M29" s="42"/>
      <c r="N29" s="42"/>
      <c r="O29" s="42"/>
    </row>
    <row r="30" spans="2:15" x14ac:dyDescent="0.15">
      <c r="B30" s="42"/>
      <c r="C30" s="42"/>
      <c r="D30" s="42"/>
      <c r="E30" s="42"/>
      <c r="F30" s="42"/>
      <c r="G30" s="42"/>
      <c r="H30" s="42"/>
      <c r="I30" s="42"/>
      <c r="J30" s="47"/>
      <c r="K30" s="47"/>
      <c r="L30" s="47"/>
      <c r="M30" s="42"/>
      <c r="N30" s="42"/>
      <c r="O30" s="42"/>
    </row>
    <row r="31" spans="2:15" ht="14.45" customHeight="1" x14ac:dyDescent="0.15">
      <c r="B31" s="226" t="s">
        <v>199</v>
      </c>
      <c r="C31" s="226"/>
      <c r="D31" s="226"/>
      <c r="E31" s="226"/>
      <c r="F31" s="226"/>
      <c r="G31" s="226"/>
      <c r="H31" s="226"/>
      <c r="I31" s="208"/>
      <c r="J31" s="208"/>
      <c r="K31" s="208"/>
      <c r="L31" s="208"/>
      <c r="M31" s="42"/>
      <c r="N31" s="42"/>
      <c r="O31" s="42"/>
    </row>
    <row r="32" spans="2:15" x14ac:dyDescent="0.15">
      <c r="B32" s="42"/>
      <c r="C32" s="42"/>
      <c r="D32" s="42"/>
      <c r="E32" s="42"/>
      <c r="F32" s="42"/>
      <c r="G32" s="42"/>
      <c r="H32" s="42"/>
      <c r="I32" s="42"/>
      <c r="J32" s="47"/>
      <c r="K32" s="47"/>
      <c r="L32" s="47"/>
      <c r="M32" s="42"/>
      <c r="N32" s="42"/>
      <c r="O32" s="42"/>
    </row>
    <row r="33" spans="1:15" x14ac:dyDescent="0.15">
      <c r="B33" s="42"/>
      <c r="C33" s="42"/>
      <c r="D33" s="42"/>
      <c r="E33" s="42"/>
      <c r="F33" s="42"/>
      <c r="G33" s="42"/>
      <c r="H33" s="42"/>
      <c r="I33" s="42"/>
      <c r="J33" s="47"/>
      <c r="K33" s="47"/>
      <c r="L33" s="47"/>
      <c r="M33" s="42"/>
      <c r="N33" s="42"/>
      <c r="O33" s="42"/>
    </row>
    <row r="34" spans="1:15" x14ac:dyDescent="0.15">
      <c r="B34" s="42"/>
      <c r="C34" s="42"/>
      <c r="D34" s="42"/>
      <c r="E34" s="42"/>
      <c r="F34" s="42"/>
      <c r="G34" s="42"/>
      <c r="H34" s="42"/>
      <c r="I34" s="42"/>
      <c r="J34" s="47"/>
      <c r="K34" s="47"/>
      <c r="L34" s="47"/>
      <c r="M34" s="42"/>
      <c r="N34" s="42"/>
      <c r="O34" s="42"/>
    </row>
    <row r="35" spans="1:15" x14ac:dyDescent="0.15">
      <c r="B35" s="42"/>
      <c r="C35" s="42"/>
      <c r="D35" s="42"/>
      <c r="E35" s="42"/>
      <c r="F35" s="42"/>
      <c r="G35" s="42"/>
      <c r="H35" s="42"/>
      <c r="I35" s="42"/>
      <c r="J35" s="47"/>
      <c r="K35" s="47"/>
      <c r="L35" s="47"/>
      <c r="M35" s="42"/>
      <c r="N35" s="42"/>
      <c r="O35" s="42"/>
    </row>
    <row r="36" spans="1:15" x14ac:dyDescent="0.15">
      <c r="B36" s="42"/>
      <c r="C36" s="42"/>
      <c r="D36" s="42"/>
      <c r="E36" s="42"/>
      <c r="F36" s="42"/>
      <c r="G36" s="42"/>
      <c r="H36" s="42"/>
      <c r="I36" s="42"/>
      <c r="J36" s="47"/>
      <c r="K36" s="47"/>
      <c r="L36" s="47"/>
      <c r="M36" s="42"/>
      <c r="N36" s="42"/>
      <c r="O36" s="42"/>
    </row>
    <row r="37" spans="1:15" x14ac:dyDescent="0.15">
      <c r="B37" s="42"/>
      <c r="C37" s="42"/>
      <c r="D37" s="42"/>
      <c r="E37" s="42"/>
      <c r="F37" s="42"/>
      <c r="G37" s="42"/>
      <c r="H37" s="42"/>
      <c r="I37" s="42"/>
      <c r="J37" s="47"/>
      <c r="K37" s="47"/>
      <c r="L37" s="47"/>
      <c r="M37" s="42"/>
      <c r="N37" s="42"/>
      <c r="O37" s="42"/>
    </row>
    <row r="38" spans="1:15" x14ac:dyDescent="0.15">
      <c r="B38" s="42"/>
      <c r="C38" s="42"/>
      <c r="D38" s="42"/>
      <c r="E38" s="42"/>
      <c r="F38" s="42"/>
      <c r="G38" s="42"/>
      <c r="H38" s="42"/>
      <c r="I38" s="42"/>
      <c r="J38" s="47"/>
      <c r="K38" s="47"/>
      <c r="L38" s="47"/>
      <c r="M38" s="42"/>
      <c r="N38" s="42"/>
      <c r="O38" s="42"/>
    </row>
    <row r="39" spans="1:15" x14ac:dyDescent="0.15">
      <c r="B39" s="42"/>
      <c r="C39" s="42"/>
      <c r="D39" s="42"/>
      <c r="E39" s="42"/>
      <c r="F39" s="42"/>
      <c r="G39" s="42"/>
      <c r="H39" s="42"/>
      <c r="I39" s="42"/>
      <c r="J39" s="47"/>
      <c r="K39" s="47"/>
      <c r="L39" s="47"/>
      <c r="M39" s="42"/>
      <c r="N39" s="42"/>
      <c r="O39" s="42"/>
    </row>
    <row r="40" spans="1:15" x14ac:dyDescent="0.15">
      <c r="B40" s="42"/>
      <c r="C40" s="42"/>
      <c r="D40" s="42"/>
      <c r="E40" s="42"/>
      <c r="F40" s="42"/>
      <c r="G40" s="42"/>
      <c r="H40" s="42"/>
      <c r="I40" s="42"/>
      <c r="J40" s="47"/>
      <c r="K40" s="47"/>
      <c r="L40" s="47"/>
      <c r="M40" s="42"/>
      <c r="N40" s="42"/>
      <c r="O40" s="42"/>
    </row>
    <row r="41" spans="1:15" x14ac:dyDescent="0.15">
      <c r="B41" s="42"/>
      <c r="C41" s="42"/>
      <c r="D41" s="42"/>
      <c r="E41" s="42"/>
      <c r="F41" s="42"/>
      <c r="G41" s="42"/>
      <c r="H41" s="42"/>
      <c r="I41" s="42"/>
      <c r="J41" s="47"/>
      <c r="K41" s="47"/>
      <c r="L41" s="47"/>
      <c r="M41" s="42"/>
      <c r="N41" s="42"/>
      <c r="O41" s="42"/>
    </row>
    <row r="42" spans="1:15" x14ac:dyDescent="0.15">
      <c r="B42" s="42"/>
      <c r="C42" s="42"/>
      <c r="D42" s="42"/>
      <c r="E42" s="42"/>
      <c r="F42" s="42"/>
      <c r="G42" s="42"/>
      <c r="H42" s="42"/>
      <c r="I42" s="42"/>
      <c r="J42" s="47"/>
      <c r="K42" s="47"/>
      <c r="L42" s="47"/>
      <c r="M42" s="42"/>
      <c r="N42" s="42"/>
      <c r="O42" s="42"/>
    </row>
    <row r="43" spans="1:15" x14ac:dyDescent="0.15">
      <c r="B43" s="42"/>
      <c r="C43" s="42"/>
      <c r="D43" s="42"/>
      <c r="E43" s="42"/>
      <c r="F43" s="42"/>
      <c r="G43" s="42"/>
      <c r="H43" s="42"/>
      <c r="I43" s="42"/>
      <c r="J43" s="47"/>
      <c r="K43" s="47"/>
      <c r="L43" s="47"/>
      <c r="M43" s="42"/>
      <c r="N43" s="42"/>
      <c r="O43" s="42"/>
    </row>
    <row r="44" spans="1:15" x14ac:dyDescent="0.15">
      <c r="A44" s="30"/>
      <c r="B44" s="42"/>
      <c r="C44" s="42"/>
      <c r="D44" s="42"/>
      <c r="E44" s="42"/>
      <c r="F44" s="42"/>
      <c r="G44" s="42"/>
      <c r="H44" s="42"/>
      <c r="I44" s="42"/>
      <c r="J44" s="47"/>
      <c r="K44" s="47"/>
      <c r="L44" s="47"/>
      <c r="M44" s="42"/>
      <c r="N44" s="42"/>
      <c r="O44" s="42"/>
    </row>
    <row r="45" spans="1:15" x14ac:dyDescent="0.15">
      <c r="B45" s="42"/>
      <c r="C45" s="42"/>
      <c r="D45" s="42"/>
      <c r="E45" s="42"/>
      <c r="F45" s="42"/>
      <c r="G45" s="42"/>
      <c r="H45" s="42"/>
      <c r="I45" s="42"/>
      <c r="J45" s="47"/>
      <c r="K45" s="47"/>
      <c r="L45" s="47"/>
      <c r="M45" s="42"/>
      <c r="N45" s="42"/>
      <c r="O45" s="42"/>
    </row>
    <row r="46" spans="1:15" x14ac:dyDescent="0.15">
      <c r="B46" s="42"/>
      <c r="C46" s="42"/>
      <c r="D46" s="42"/>
      <c r="E46" s="42"/>
      <c r="F46" s="42"/>
      <c r="G46" s="42"/>
      <c r="H46" s="42"/>
      <c r="I46" s="42"/>
      <c r="J46" s="47"/>
      <c r="K46" s="47"/>
      <c r="L46" s="47"/>
      <c r="M46" s="42"/>
      <c r="N46" s="42"/>
      <c r="O46" s="42"/>
    </row>
    <row r="47" spans="1:15" x14ac:dyDescent="0.15">
      <c r="B47" s="42"/>
      <c r="C47" s="42"/>
      <c r="D47" s="42"/>
      <c r="E47" s="42"/>
      <c r="F47" s="42"/>
      <c r="G47" s="42"/>
      <c r="H47" s="42"/>
      <c r="I47" s="42"/>
      <c r="J47" s="47"/>
      <c r="K47" s="47"/>
      <c r="L47" s="47"/>
      <c r="M47" s="42"/>
      <c r="N47" s="42"/>
      <c r="O47" s="42"/>
    </row>
    <row r="48" spans="1:15" x14ac:dyDescent="0.15">
      <c r="B48" s="42"/>
      <c r="C48" s="42"/>
      <c r="D48" s="42"/>
      <c r="E48" s="42"/>
      <c r="F48" s="42"/>
      <c r="G48" s="42"/>
      <c r="H48" s="42"/>
      <c r="I48" s="42"/>
      <c r="J48" s="47"/>
      <c r="K48" s="47"/>
      <c r="L48" s="47"/>
      <c r="M48" s="42"/>
      <c r="N48" s="42"/>
      <c r="O48" s="42"/>
    </row>
    <row r="49" spans="2:15" x14ac:dyDescent="0.15">
      <c r="B49" s="42"/>
      <c r="C49" s="42"/>
      <c r="D49" s="42"/>
      <c r="E49" s="42"/>
      <c r="F49" s="42"/>
      <c r="G49" s="42"/>
      <c r="H49" s="42"/>
      <c r="I49" s="42"/>
      <c r="J49" s="47"/>
      <c r="K49" s="47"/>
      <c r="L49" s="47"/>
      <c r="M49" s="42"/>
      <c r="N49" s="42"/>
      <c r="O49" s="42"/>
    </row>
    <row r="50" spans="2:15" x14ac:dyDescent="0.15">
      <c r="B50" s="42"/>
      <c r="C50" s="42"/>
      <c r="D50" s="42"/>
      <c r="E50" s="42"/>
      <c r="F50" s="42"/>
      <c r="G50" s="42"/>
      <c r="H50" s="42"/>
      <c r="I50" s="42"/>
      <c r="J50" s="47"/>
      <c r="K50" s="47"/>
      <c r="L50" s="47"/>
      <c r="M50" s="42"/>
      <c r="N50" s="42"/>
      <c r="O50" s="42"/>
    </row>
    <row r="51" spans="2:15" x14ac:dyDescent="0.15">
      <c r="B51" s="42"/>
      <c r="C51" s="42"/>
      <c r="D51" s="42"/>
      <c r="E51" s="42"/>
      <c r="F51" s="42"/>
      <c r="G51" s="42"/>
      <c r="H51" s="42"/>
      <c r="I51" s="42"/>
      <c r="J51" s="47"/>
      <c r="K51" s="47"/>
      <c r="L51" s="47"/>
      <c r="M51" s="42"/>
      <c r="N51" s="42"/>
      <c r="O51" s="42"/>
    </row>
    <row r="52" spans="2:15" x14ac:dyDescent="0.15">
      <c r="B52" s="42"/>
      <c r="C52" s="42"/>
      <c r="D52" s="42"/>
      <c r="E52" s="42"/>
      <c r="F52" s="42"/>
      <c r="G52" s="42"/>
      <c r="H52" s="42"/>
      <c r="I52" s="42"/>
      <c r="J52" s="47"/>
      <c r="K52" s="47"/>
      <c r="L52" s="47"/>
      <c r="M52" s="42"/>
      <c r="N52" s="42"/>
      <c r="O52" s="42"/>
    </row>
    <row r="53" spans="2:15" x14ac:dyDescent="0.15">
      <c r="B53" s="42"/>
      <c r="C53" s="42"/>
      <c r="D53" s="42"/>
      <c r="E53" s="42"/>
      <c r="F53" s="42"/>
      <c r="G53" s="42"/>
      <c r="H53" s="42"/>
      <c r="I53" s="42"/>
      <c r="J53" s="47"/>
      <c r="K53" s="47"/>
      <c r="L53" s="47"/>
      <c r="M53" s="42"/>
      <c r="N53" s="42"/>
      <c r="O53" s="42"/>
    </row>
    <row r="54" spans="2:15" x14ac:dyDescent="0.15">
      <c r="B54" s="42"/>
      <c r="C54" s="42"/>
      <c r="D54" s="42"/>
      <c r="E54" s="42"/>
      <c r="F54" s="42"/>
      <c r="G54" s="42"/>
      <c r="H54" s="42"/>
      <c r="I54" s="42"/>
      <c r="J54" s="47"/>
      <c r="K54" s="47"/>
      <c r="L54" s="47"/>
      <c r="M54" s="42"/>
      <c r="N54" s="42"/>
      <c r="O54" s="42"/>
    </row>
    <row r="55" spans="2:15" x14ac:dyDescent="0.15">
      <c r="B55" s="42"/>
      <c r="C55" s="42"/>
      <c r="D55" s="42"/>
      <c r="E55" s="42"/>
      <c r="F55" s="42"/>
      <c r="G55" s="42"/>
      <c r="H55" s="42"/>
      <c r="I55" s="42"/>
      <c r="J55" s="47"/>
      <c r="K55" s="47"/>
      <c r="L55" s="47"/>
      <c r="M55" s="42"/>
      <c r="N55" s="42"/>
      <c r="O55" s="42"/>
    </row>
    <row r="56" spans="2:15" x14ac:dyDescent="0.15">
      <c r="B56" s="42"/>
      <c r="C56" s="42"/>
      <c r="D56" s="42"/>
      <c r="E56" s="42"/>
      <c r="F56" s="42"/>
      <c r="G56" s="42"/>
      <c r="H56" s="42"/>
      <c r="I56" s="42"/>
      <c r="J56" s="47"/>
      <c r="K56" s="47"/>
      <c r="L56" s="47"/>
      <c r="M56" s="42"/>
      <c r="N56" s="42"/>
      <c r="O56" s="42"/>
    </row>
    <row r="57" spans="2:15" x14ac:dyDescent="0.15">
      <c r="B57" s="42"/>
      <c r="C57" s="42"/>
      <c r="D57" s="42"/>
      <c r="E57" s="42"/>
      <c r="F57" s="42"/>
      <c r="G57" s="42"/>
      <c r="H57" s="42"/>
      <c r="I57" s="42"/>
      <c r="J57" s="47"/>
      <c r="K57" s="47"/>
      <c r="L57" s="47"/>
      <c r="M57" s="42"/>
      <c r="N57" s="42"/>
      <c r="O57" s="42"/>
    </row>
    <row r="58" spans="2:15" x14ac:dyDescent="0.15">
      <c r="B58" s="42"/>
      <c r="C58" s="42"/>
      <c r="D58" s="42"/>
      <c r="E58" s="42"/>
      <c r="F58" s="42"/>
      <c r="G58" s="42"/>
      <c r="H58" s="42"/>
      <c r="I58" s="42"/>
      <c r="J58" s="47"/>
      <c r="K58" s="47"/>
      <c r="L58" s="47"/>
      <c r="M58" s="42"/>
      <c r="N58" s="42"/>
      <c r="O58" s="42"/>
    </row>
    <row r="59" spans="2:15" x14ac:dyDescent="0.15">
      <c r="B59" s="42"/>
      <c r="C59" s="42"/>
      <c r="D59" s="42"/>
      <c r="E59" s="42"/>
      <c r="F59" s="42"/>
      <c r="G59" s="42"/>
      <c r="H59" s="42"/>
      <c r="I59" s="42"/>
      <c r="J59" s="47"/>
      <c r="K59" s="47"/>
      <c r="L59" s="47"/>
      <c r="M59" s="42"/>
      <c r="N59" s="42"/>
      <c r="O59" s="42"/>
    </row>
    <row r="60" spans="2:15" x14ac:dyDescent="0.15">
      <c r="B60" s="42"/>
      <c r="C60" s="42"/>
      <c r="D60" s="42"/>
      <c r="E60" s="42"/>
      <c r="F60" s="42"/>
      <c r="G60" s="42"/>
      <c r="H60" s="42"/>
      <c r="I60" s="42"/>
      <c r="J60" s="47"/>
      <c r="K60" s="47"/>
      <c r="L60" s="47"/>
      <c r="M60" s="42"/>
      <c r="N60" s="42"/>
      <c r="O60" s="42"/>
    </row>
    <row r="61" spans="2:15" x14ac:dyDescent="0.15">
      <c r="B61" s="42"/>
      <c r="C61" s="42"/>
      <c r="D61" s="42"/>
      <c r="E61" s="42"/>
      <c r="F61" s="42"/>
      <c r="G61" s="42"/>
      <c r="H61" s="42"/>
      <c r="I61" s="42"/>
      <c r="J61" s="47"/>
      <c r="K61" s="47"/>
      <c r="L61" s="47"/>
      <c r="M61" s="42"/>
      <c r="N61" s="42"/>
      <c r="O61" s="42"/>
    </row>
    <row r="62" spans="2:15" x14ac:dyDescent="0.15">
      <c r="B62" s="42"/>
      <c r="C62" s="42"/>
      <c r="D62" s="42"/>
      <c r="E62" s="42"/>
      <c r="F62" s="42"/>
      <c r="G62" s="42"/>
      <c r="H62" s="42"/>
      <c r="I62" s="42"/>
      <c r="J62" s="47"/>
      <c r="K62" s="47"/>
      <c r="L62" s="47"/>
      <c r="M62" s="42"/>
      <c r="N62" s="42"/>
      <c r="O62" s="42"/>
    </row>
    <row r="63" spans="2:15" x14ac:dyDescent="0.15">
      <c r="B63" s="42"/>
      <c r="C63" s="42"/>
      <c r="D63" s="42"/>
      <c r="E63" s="42"/>
      <c r="F63" s="42"/>
      <c r="G63" s="42"/>
      <c r="H63" s="42"/>
      <c r="I63" s="42"/>
      <c r="J63" s="47"/>
      <c r="K63" s="47"/>
      <c r="L63" s="47"/>
      <c r="M63" s="42"/>
      <c r="N63" s="42"/>
      <c r="O63" s="42"/>
    </row>
    <row r="64" spans="2:15" x14ac:dyDescent="0.15">
      <c r="B64" s="42"/>
      <c r="C64" s="42"/>
      <c r="D64" s="42"/>
      <c r="E64" s="42"/>
      <c r="F64" s="42"/>
      <c r="G64" s="42"/>
      <c r="H64" s="42"/>
      <c r="I64" s="42"/>
      <c r="J64" s="47"/>
      <c r="K64" s="47"/>
      <c r="L64" s="47"/>
      <c r="M64" s="42"/>
      <c r="N64" s="42"/>
      <c r="O64" s="42"/>
    </row>
    <row r="65" spans="2:15" x14ac:dyDescent="0.15">
      <c r="B65" s="42"/>
      <c r="C65" s="42"/>
      <c r="D65" s="42"/>
      <c r="E65" s="42"/>
      <c r="F65" s="42"/>
      <c r="G65" s="42"/>
      <c r="H65" s="42"/>
      <c r="I65" s="42"/>
      <c r="J65" s="47"/>
      <c r="K65" s="47"/>
      <c r="L65" s="47"/>
      <c r="M65" s="42"/>
      <c r="N65" s="42"/>
      <c r="O65" s="42"/>
    </row>
    <row r="66" spans="2:15" x14ac:dyDescent="0.15">
      <c r="B66" s="42"/>
      <c r="C66" s="42"/>
      <c r="D66" s="42"/>
      <c r="E66" s="42"/>
      <c r="F66" s="42"/>
      <c r="G66" s="42"/>
      <c r="H66" s="42"/>
      <c r="I66" s="42"/>
      <c r="J66" s="47"/>
      <c r="K66" s="47"/>
      <c r="L66" s="47"/>
      <c r="M66" s="42"/>
      <c r="N66" s="42"/>
      <c r="O66" s="42"/>
    </row>
    <row r="67" spans="2:15" x14ac:dyDescent="0.15">
      <c r="B67" s="42"/>
      <c r="C67" s="42"/>
      <c r="D67" s="42"/>
      <c r="E67" s="42"/>
      <c r="F67" s="42"/>
      <c r="G67" s="42"/>
      <c r="H67" s="42"/>
      <c r="I67" s="42"/>
      <c r="J67" s="47"/>
      <c r="K67" s="47"/>
      <c r="L67" s="47"/>
      <c r="M67" s="42"/>
      <c r="N67" s="42"/>
      <c r="O67" s="42"/>
    </row>
    <row r="68" spans="2:15" x14ac:dyDescent="0.15">
      <c r="B68" s="42"/>
      <c r="C68" s="42"/>
      <c r="D68" s="42"/>
      <c r="E68" s="42"/>
      <c r="F68" s="42"/>
      <c r="G68" s="42"/>
      <c r="H68" s="42"/>
      <c r="I68" s="42"/>
      <c r="J68" s="47"/>
      <c r="K68" s="47"/>
      <c r="L68" s="47"/>
      <c r="M68" s="42"/>
      <c r="N68" s="42"/>
      <c r="O68" s="42"/>
    </row>
    <row r="69" spans="2:15" x14ac:dyDescent="0.15">
      <c r="B69" s="42"/>
      <c r="C69" s="42"/>
      <c r="D69" s="42"/>
      <c r="E69" s="42"/>
      <c r="F69" s="42"/>
      <c r="G69" s="42"/>
      <c r="H69" s="42"/>
      <c r="I69" s="42"/>
      <c r="J69" s="47"/>
      <c r="K69" s="47"/>
      <c r="L69" s="47"/>
      <c r="M69" s="42"/>
      <c r="N69" s="42"/>
      <c r="O69" s="42"/>
    </row>
    <row r="70" spans="2:15" x14ac:dyDescent="0.15">
      <c r="B70" s="42"/>
      <c r="C70" s="42"/>
      <c r="D70" s="42"/>
      <c r="E70" s="42"/>
      <c r="F70" s="42"/>
      <c r="G70" s="42"/>
      <c r="H70" s="42"/>
      <c r="I70" s="42"/>
      <c r="J70" s="47"/>
      <c r="K70" s="47"/>
      <c r="L70" s="47"/>
      <c r="M70" s="42"/>
      <c r="N70" s="42"/>
      <c r="O70" s="42"/>
    </row>
    <row r="71" spans="2:15" x14ac:dyDescent="0.15">
      <c r="B71" s="42"/>
      <c r="C71" s="42"/>
      <c r="D71" s="42"/>
      <c r="E71" s="42"/>
      <c r="F71" s="42"/>
      <c r="G71" s="42"/>
      <c r="H71" s="42"/>
      <c r="I71" s="42"/>
      <c r="J71" s="47"/>
      <c r="K71" s="47"/>
      <c r="L71" s="47"/>
      <c r="M71" s="42"/>
      <c r="N71" s="42"/>
      <c r="O71" s="42"/>
    </row>
    <row r="72" spans="2:15" x14ac:dyDescent="0.15">
      <c r="B72" s="42"/>
      <c r="C72" s="42"/>
      <c r="D72" s="42"/>
      <c r="E72" s="42"/>
      <c r="F72" s="42"/>
      <c r="G72" s="42"/>
      <c r="H72" s="42"/>
      <c r="I72" s="42"/>
      <c r="J72" s="47"/>
      <c r="K72" s="47"/>
      <c r="L72" s="47"/>
      <c r="M72" s="42"/>
      <c r="N72" s="42"/>
      <c r="O72" s="42"/>
    </row>
    <row r="73" spans="2:15" x14ac:dyDescent="0.15">
      <c r="B73" s="42"/>
      <c r="C73" s="42"/>
      <c r="D73" s="42"/>
      <c r="E73" s="42"/>
      <c r="F73" s="42"/>
      <c r="G73" s="42"/>
      <c r="H73" s="42"/>
      <c r="I73" s="42"/>
      <c r="J73" s="47"/>
      <c r="K73" s="47"/>
      <c r="L73" s="47"/>
      <c r="M73" s="42"/>
      <c r="N73" s="42"/>
      <c r="O73" s="42"/>
    </row>
    <row r="74" spans="2:15" x14ac:dyDescent="0.15">
      <c r="B74" s="42"/>
      <c r="C74" s="42"/>
      <c r="D74" s="42"/>
      <c r="E74" s="42"/>
      <c r="F74" s="42"/>
      <c r="G74" s="42"/>
      <c r="H74" s="42"/>
      <c r="I74" s="42"/>
      <c r="J74" s="47"/>
      <c r="K74" s="47"/>
      <c r="L74" s="47"/>
      <c r="M74" s="42"/>
      <c r="N74" s="42"/>
      <c r="O74" s="42"/>
    </row>
    <row r="75" spans="2:15" x14ac:dyDescent="0.15">
      <c r="B75" s="42"/>
      <c r="C75" s="42"/>
      <c r="D75" s="42"/>
      <c r="E75" s="42"/>
      <c r="F75" s="42"/>
      <c r="G75" s="42"/>
      <c r="H75" s="42"/>
      <c r="I75" s="42"/>
      <c r="J75" s="47"/>
      <c r="K75" s="47"/>
      <c r="L75" s="47"/>
      <c r="M75" s="42"/>
      <c r="N75" s="42"/>
      <c r="O75" s="42"/>
    </row>
    <row r="76" spans="2:15" x14ac:dyDescent="0.15">
      <c r="B76" s="42"/>
      <c r="C76" s="42"/>
      <c r="D76" s="42"/>
      <c r="E76" s="42"/>
      <c r="F76" s="42"/>
      <c r="G76" s="42"/>
      <c r="H76" s="42"/>
      <c r="I76" s="42"/>
      <c r="J76" s="47"/>
      <c r="K76" s="47"/>
      <c r="L76" s="47"/>
      <c r="M76" s="42"/>
      <c r="N76" s="42"/>
      <c r="O76" s="42"/>
    </row>
    <row r="77" spans="2:15" x14ac:dyDescent="0.15">
      <c r="B77" s="42"/>
      <c r="C77" s="42"/>
      <c r="D77" s="42"/>
      <c r="E77" s="42"/>
      <c r="F77" s="42"/>
      <c r="G77" s="42"/>
      <c r="H77" s="42"/>
      <c r="I77" s="42"/>
      <c r="J77" s="47"/>
      <c r="K77" s="47"/>
      <c r="L77" s="47"/>
      <c r="M77" s="42"/>
      <c r="N77" s="42"/>
      <c r="O77" s="42"/>
    </row>
    <row r="78" spans="2:15" x14ac:dyDescent="0.15">
      <c r="B78" s="42"/>
      <c r="C78" s="42"/>
      <c r="D78" s="42"/>
      <c r="E78" s="42"/>
      <c r="F78" s="42"/>
      <c r="G78" s="42"/>
      <c r="H78" s="42"/>
      <c r="I78" s="42"/>
      <c r="J78" s="47"/>
      <c r="K78" s="47"/>
      <c r="L78" s="47"/>
      <c r="M78" s="42"/>
      <c r="N78" s="42"/>
      <c r="O78" s="42"/>
    </row>
    <row r="79" spans="2:15" x14ac:dyDescent="0.15">
      <c r="B79" s="42"/>
      <c r="C79" s="42"/>
      <c r="D79" s="42"/>
      <c r="E79" s="42"/>
      <c r="F79" s="42"/>
      <c r="G79" s="42"/>
      <c r="H79" s="42"/>
      <c r="I79" s="42"/>
      <c r="J79" s="47"/>
      <c r="K79" s="47"/>
      <c r="L79" s="47"/>
      <c r="M79" s="42"/>
      <c r="N79" s="42"/>
      <c r="O79" s="42"/>
    </row>
    <row r="80" spans="2:15" x14ac:dyDescent="0.15">
      <c r="B80" s="42"/>
      <c r="C80" s="42"/>
      <c r="D80" s="42"/>
      <c r="E80" s="42"/>
      <c r="F80" s="42"/>
      <c r="G80" s="42"/>
      <c r="H80" s="42"/>
      <c r="I80" s="42"/>
      <c r="J80" s="47"/>
      <c r="K80" s="47"/>
      <c r="L80" s="47"/>
      <c r="M80" s="42"/>
      <c r="N80" s="42"/>
      <c r="O80" s="42"/>
    </row>
    <row r="81" spans="2:15" x14ac:dyDescent="0.15">
      <c r="B81" s="42"/>
      <c r="C81" s="42"/>
      <c r="D81" s="42"/>
      <c r="E81" s="42"/>
      <c r="F81" s="42"/>
      <c r="G81" s="42"/>
      <c r="H81" s="42"/>
      <c r="I81" s="42"/>
      <c r="J81" s="47"/>
      <c r="K81" s="47"/>
      <c r="L81" s="47"/>
      <c r="M81" s="42"/>
      <c r="N81" s="42"/>
      <c r="O81" s="42"/>
    </row>
  </sheetData>
  <sheetProtection algorithmName="SHA-512" hashValue="1DOrBqHCVc6cm4oUwW8Se7jw95Jdykd5+DKBH36Nzk0rDsPQM72Hur1q02xz1o1Ui8ShLsX3vjqcIpVMZYTFug==" saltValue="aWeLglIn1G9i+HnL4QV+6g==" spinCount="100000" sheet="1" objects="1" scenarios="1"/>
  <mergeCells count="3">
    <mergeCell ref="H2:L2"/>
    <mergeCell ref="B31:H31"/>
    <mergeCell ref="C2:F2"/>
  </mergeCells>
  <hyperlinks>
    <hyperlink ref="B3" location="I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2"/>
  <sheetViews>
    <sheetView showGridLines="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H21" sqref="H21"/>
    </sheetView>
  </sheetViews>
  <sheetFormatPr baseColWidth="10" defaultColWidth="11.42578125" defaultRowHeight="10.5" x14ac:dyDescent="0.15"/>
  <cols>
    <col min="1" max="4" width="11.7109375" style="3" customWidth="1"/>
    <col min="5" max="7" width="11.7109375" style="48" customWidth="1"/>
    <col min="8" max="8" width="11.7109375" style="92" customWidth="1"/>
    <col min="9" max="9" width="7.28515625" style="3" customWidth="1"/>
    <col min="10" max="12" width="11.5703125" style="3" customWidth="1"/>
    <col min="13" max="13" width="5.42578125" style="3" customWidth="1"/>
    <col min="14" max="18" width="11.7109375" style="3" customWidth="1"/>
    <col min="19" max="19" width="5.42578125" style="3" customWidth="1"/>
    <col min="20" max="24" width="11.7109375" style="3" customWidth="1"/>
    <col min="25" max="25" width="5.42578125" style="3" customWidth="1"/>
    <col min="26" max="28" width="11.7109375" style="3" customWidth="1"/>
    <col min="29" max="29" width="4.42578125" style="3" customWidth="1"/>
    <col min="30" max="32" width="11.7109375" style="3" customWidth="1"/>
    <col min="33" max="33" width="4.42578125" style="3" customWidth="1"/>
    <col min="34" max="37" width="11.7109375" style="3" customWidth="1"/>
    <col min="38" max="38" width="4.42578125" style="3" customWidth="1"/>
    <col min="39" max="48" width="11.7109375" style="3" customWidth="1"/>
    <col min="49" max="49" width="4.42578125" style="3" customWidth="1"/>
    <col min="50" max="50" width="12.140625" style="3" customWidth="1"/>
    <col min="51" max="52" width="11.7109375" style="3" customWidth="1"/>
    <col min="53" max="53" width="4.7109375" style="3" customWidth="1"/>
    <col min="54" max="56" width="11.5703125" style="3" customWidth="1"/>
    <col min="57" max="57" width="4.7109375" style="3" customWidth="1"/>
    <col min="58" max="61" width="11.7109375" style="3" customWidth="1"/>
    <col min="62" max="62" width="4.7109375" style="3" customWidth="1"/>
    <col min="63" max="69" width="11.7109375" style="3" customWidth="1"/>
    <col min="70" max="70" width="4.85546875" style="3" customWidth="1"/>
    <col min="71" max="71" width="10.85546875" style="3" hidden="1" customWidth="1"/>
    <col min="72" max="73" width="11.7109375" style="3" hidden="1" customWidth="1"/>
    <col min="74" max="74" width="4.7109375" style="3" hidden="1" customWidth="1"/>
    <col min="75" max="76" width="11.7109375" style="3" hidden="1" customWidth="1"/>
    <col min="77" max="77" width="4.7109375" style="3" hidden="1" customWidth="1"/>
    <col min="78" max="79" width="11.7109375" style="3" hidden="1" customWidth="1"/>
    <col min="80" max="80" width="5.140625" style="3" hidden="1" customWidth="1"/>
    <col min="81" max="81" width="11.7109375" style="3" hidden="1" customWidth="1"/>
    <col min="82" max="82" width="11" style="3" hidden="1" customWidth="1"/>
    <col min="83" max="83" width="5.140625" style="3" hidden="1" customWidth="1"/>
    <col min="84" max="85" width="11.7109375" style="3" customWidth="1"/>
    <col min="86" max="86" width="9.42578125" style="3" customWidth="1"/>
    <col min="87" max="87" width="11.7109375" style="3" customWidth="1"/>
    <col min="88" max="88" width="4.85546875" style="3" customWidth="1"/>
    <col min="89" max="89" width="9" style="3" customWidth="1"/>
    <col min="90" max="90" width="11.7109375" style="3" customWidth="1"/>
    <col min="91" max="91" width="12.7109375" style="3" customWidth="1"/>
    <col min="92" max="92" width="4.7109375" style="3" customWidth="1"/>
    <col min="93" max="94" width="11.7109375" style="3" hidden="1" customWidth="1"/>
    <col min="95" max="95" width="6.28515625" style="3" hidden="1" customWidth="1"/>
    <col min="96" max="100" width="11.7109375" style="3" hidden="1" customWidth="1"/>
    <col min="101" max="102" width="11.7109375" style="42" customWidth="1"/>
    <col min="103" max="103" width="4.7109375" style="3" customWidth="1"/>
    <col min="104" max="104" width="11.7109375" style="3" customWidth="1"/>
    <col min="105" max="106" width="11.7109375" style="3" hidden="1" customWidth="1"/>
    <col min="107" max="107" width="7.28515625" style="3" customWidth="1"/>
    <col min="108" max="110" width="11.42578125" style="48" customWidth="1"/>
    <col min="111" max="135" width="11.42578125" style="3" customWidth="1"/>
    <col min="136" max="16384" width="11.42578125" style="3"/>
  </cols>
  <sheetData>
    <row r="1" spans="1:110" s="42" customFormat="1" ht="3.6" customHeight="1" x14ac:dyDescent="0.15">
      <c r="E1" s="48"/>
      <c r="F1" s="48"/>
      <c r="G1" s="48"/>
      <c r="H1" s="92"/>
      <c r="DD1" s="48"/>
      <c r="DE1" s="48"/>
      <c r="DF1" s="48"/>
    </row>
    <row r="2" spans="1:110" s="189" customFormat="1" ht="19.899999999999999" customHeight="1" x14ac:dyDescent="0.25">
      <c r="B2" s="235" t="s">
        <v>0</v>
      </c>
      <c r="C2" s="235"/>
      <c r="D2" s="235"/>
      <c r="E2" s="237" t="s">
        <v>172</v>
      </c>
      <c r="F2" s="237"/>
      <c r="G2" s="237"/>
      <c r="H2" s="87" t="s">
        <v>141</v>
      </c>
      <c r="I2" s="1"/>
      <c r="J2" s="235" t="s">
        <v>1</v>
      </c>
      <c r="K2" s="235"/>
      <c r="L2" s="235"/>
      <c r="M2" s="1"/>
      <c r="N2" s="235" t="s">
        <v>2</v>
      </c>
      <c r="O2" s="235"/>
      <c r="P2" s="235"/>
      <c r="Q2" s="235"/>
      <c r="R2" s="235"/>
      <c r="S2" s="1"/>
      <c r="T2" s="235" t="s">
        <v>3</v>
      </c>
      <c r="U2" s="235"/>
      <c r="V2" s="235"/>
      <c r="W2" s="235"/>
      <c r="X2" s="235"/>
      <c r="Y2" s="1"/>
      <c r="Z2" s="235" t="s">
        <v>4</v>
      </c>
      <c r="AA2" s="235"/>
      <c r="AB2" s="235"/>
      <c r="AC2" s="1"/>
      <c r="AD2" s="235" t="s">
        <v>5</v>
      </c>
      <c r="AE2" s="235"/>
      <c r="AF2" s="235"/>
      <c r="AG2" s="1"/>
      <c r="AH2" s="235" t="s">
        <v>6</v>
      </c>
      <c r="AI2" s="235"/>
      <c r="AJ2" s="235"/>
      <c r="AK2" s="235"/>
      <c r="AL2" s="1"/>
      <c r="AM2" s="235" t="s">
        <v>7</v>
      </c>
      <c r="AN2" s="235"/>
      <c r="AO2" s="235"/>
      <c r="AP2" s="235"/>
      <c r="AQ2" s="235"/>
      <c r="AR2" s="235"/>
      <c r="AS2" s="235"/>
      <c r="AT2" s="235"/>
      <c r="AU2" s="235"/>
      <c r="AV2" s="235"/>
      <c r="AW2" s="1"/>
      <c r="AX2" s="235" t="s">
        <v>8</v>
      </c>
      <c r="AY2" s="235"/>
      <c r="AZ2" s="235"/>
      <c r="BA2" s="1"/>
      <c r="BB2" s="235" t="s">
        <v>9</v>
      </c>
      <c r="BC2" s="235"/>
      <c r="BD2" s="235"/>
      <c r="BE2" s="1"/>
      <c r="BF2" s="2" t="s">
        <v>10</v>
      </c>
      <c r="BG2" s="2"/>
      <c r="BH2" s="2"/>
      <c r="BI2" s="2"/>
      <c r="BK2" s="236" t="s">
        <v>11</v>
      </c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F2" s="235" t="s">
        <v>146</v>
      </c>
      <c r="CG2" s="235"/>
      <c r="CH2" s="235"/>
      <c r="CI2" s="235"/>
      <c r="CK2" s="235" t="s">
        <v>13</v>
      </c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D2" s="234" t="s">
        <v>14</v>
      </c>
      <c r="DE2" s="234"/>
      <c r="DF2" s="234"/>
    </row>
    <row r="3" spans="1:110" x14ac:dyDescent="0.15">
      <c r="A3" s="1"/>
      <c r="B3" s="1"/>
      <c r="C3" s="1"/>
      <c r="D3" s="1"/>
      <c r="E3" s="85"/>
      <c r="F3" s="85"/>
      <c r="G3" s="85"/>
      <c r="H3" s="88"/>
      <c r="I3" s="1"/>
      <c r="J3" s="4"/>
      <c r="K3" s="4"/>
      <c r="L3" s="4"/>
      <c r="M3" s="1"/>
      <c r="N3" s="1"/>
      <c r="O3" s="1"/>
      <c r="P3" s="5"/>
      <c r="Q3" s="5"/>
      <c r="R3" s="5"/>
      <c r="S3" s="4"/>
      <c r="T3" s="1"/>
      <c r="U3" s="1"/>
      <c r="V3" s="1"/>
      <c r="W3" s="1"/>
      <c r="X3" s="1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2" t="s">
        <v>15</v>
      </c>
      <c r="BG3" s="2"/>
      <c r="BH3" s="2"/>
      <c r="BI3" s="2"/>
    </row>
    <row r="4" spans="1:110" ht="73.5" x14ac:dyDescent="0.15">
      <c r="A4" s="187" t="s">
        <v>196</v>
      </c>
      <c r="B4" s="6" t="s">
        <v>16</v>
      </c>
      <c r="C4" s="6" t="s">
        <v>17</v>
      </c>
      <c r="D4" s="7" t="s">
        <v>18</v>
      </c>
      <c r="E4" s="84" t="s">
        <v>142</v>
      </c>
      <c r="F4" s="84" t="s">
        <v>143</v>
      </c>
      <c r="G4" s="84" t="s">
        <v>144</v>
      </c>
      <c r="H4" s="53" t="s">
        <v>145</v>
      </c>
      <c r="I4" s="8"/>
      <c r="J4" s="6" t="s">
        <v>19</v>
      </c>
      <c r="K4" s="6" t="s">
        <v>20</v>
      </c>
      <c r="L4" s="6" t="s">
        <v>21</v>
      </c>
      <c r="M4" s="8"/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T4" s="6" t="s">
        <v>27</v>
      </c>
      <c r="U4" s="6" t="s">
        <v>28</v>
      </c>
      <c r="V4" s="6" t="s">
        <v>29</v>
      </c>
      <c r="W4" s="6" t="s">
        <v>30</v>
      </c>
      <c r="X4" s="6" t="s">
        <v>31</v>
      </c>
      <c r="Z4" s="6" t="s">
        <v>32</v>
      </c>
      <c r="AA4" s="6" t="s">
        <v>33</v>
      </c>
      <c r="AB4" s="6" t="s">
        <v>34</v>
      </c>
      <c r="AC4" s="9"/>
      <c r="AD4" s="6" t="s">
        <v>35</v>
      </c>
      <c r="AE4" s="6" t="s">
        <v>36</v>
      </c>
      <c r="AF4" s="6" t="s">
        <v>37</v>
      </c>
      <c r="AG4" s="9"/>
      <c r="AH4" s="6" t="s">
        <v>38</v>
      </c>
      <c r="AI4" s="6" t="s">
        <v>39</v>
      </c>
      <c r="AJ4" s="6" t="s">
        <v>40</v>
      </c>
      <c r="AK4" s="6" t="s">
        <v>41</v>
      </c>
      <c r="AL4" s="9"/>
      <c r="AM4" s="6" t="s">
        <v>38</v>
      </c>
      <c r="AN4" s="6" t="s">
        <v>42</v>
      </c>
      <c r="AO4" s="6" t="s">
        <v>40</v>
      </c>
      <c r="AP4" s="6" t="s">
        <v>41</v>
      </c>
      <c r="AQ4" s="6" t="s">
        <v>43</v>
      </c>
      <c r="AR4" s="6" t="s">
        <v>44</v>
      </c>
      <c r="AS4" s="6" t="s">
        <v>45</v>
      </c>
      <c r="AT4" s="6" t="s">
        <v>32</v>
      </c>
      <c r="AU4" s="6" t="s">
        <v>33</v>
      </c>
      <c r="AV4" s="6" t="s">
        <v>34</v>
      </c>
      <c r="AW4" s="9"/>
      <c r="AX4" s="6" t="s">
        <v>46</v>
      </c>
      <c r="AY4" s="6" t="s">
        <v>47</v>
      </c>
      <c r="AZ4" s="6" t="s">
        <v>48</v>
      </c>
      <c r="BA4" s="9"/>
      <c r="BB4" s="6" t="s">
        <v>49</v>
      </c>
      <c r="BC4" s="6" t="s">
        <v>50</v>
      </c>
      <c r="BD4" s="6" t="s">
        <v>51</v>
      </c>
      <c r="BE4" s="9"/>
      <c r="BF4" s="6" t="s">
        <v>233</v>
      </c>
      <c r="BG4" s="6" t="s">
        <v>232</v>
      </c>
      <c r="BH4" s="6" t="s">
        <v>231</v>
      </c>
      <c r="BI4" s="6" t="s">
        <v>230</v>
      </c>
      <c r="BK4" s="6" t="s">
        <v>52</v>
      </c>
      <c r="BL4" s="6" t="s">
        <v>53</v>
      </c>
      <c r="BM4" s="6" t="s">
        <v>54</v>
      </c>
      <c r="BN4" s="6" t="s">
        <v>223</v>
      </c>
      <c r="BO4" s="6" t="s">
        <v>224</v>
      </c>
      <c r="BP4" s="6" t="s">
        <v>225</v>
      </c>
      <c r="BQ4" s="6" t="s">
        <v>218</v>
      </c>
      <c r="BS4" s="6" t="s">
        <v>55</v>
      </c>
      <c r="BT4" s="6" t="s">
        <v>56</v>
      </c>
      <c r="BU4" s="6" t="s">
        <v>57</v>
      </c>
      <c r="BW4" s="6" t="s">
        <v>58</v>
      </c>
      <c r="BX4" s="6" t="s">
        <v>59</v>
      </c>
      <c r="BZ4" s="6" t="s">
        <v>60</v>
      </c>
      <c r="CA4" s="6" t="s">
        <v>61</v>
      </c>
      <c r="CC4" s="6" t="s">
        <v>62</v>
      </c>
      <c r="CD4" s="6" t="s">
        <v>63</v>
      </c>
      <c r="CF4" s="6" t="s">
        <v>219</v>
      </c>
      <c r="CG4" s="6" t="s">
        <v>220</v>
      </c>
      <c r="CH4" s="6" t="s">
        <v>221</v>
      </c>
      <c r="CI4" s="6" t="s">
        <v>222</v>
      </c>
      <c r="CK4" s="6" t="s">
        <v>226</v>
      </c>
      <c r="CL4" s="6" t="s">
        <v>227</v>
      </c>
      <c r="CM4" s="6" t="s">
        <v>228</v>
      </c>
      <c r="CO4" s="6" t="s">
        <v>64</v>
      </c>
      <c r="CP4" s="6" t="s">
        <v>65</v>
      </c>
      <c r="CR4" s="6" t="s">
        <v>66</v>
      </c>
      <c r="CS4" s="6" t="s">
        <v>67</v>
      </c>
      <c r="CU4" s="6" t="s">
        <v>68</v>
      </c>
      <c r="CV4" s="6" t="s">
        <v>69</v>
      </c>
      <c r="CW4" s="43" t="s">
        <v>137</v>
      </c>
      <c r="CX4" s="43" t="s">
        <v>138</v>
      </c>
      <c r="CZ4" s="6" t="s">
        <v>229</v>
      </c>
      <c r="DA4" s="6" t="s">
        <v>70</v>
      </c>
      <c r="DB4" s="6" t="s">
        <v>71</v>
      </c>
      <c r="DD4" s="84" t="s">
        <v>72</v>
      </c>
      <c r="DE4" s="84" t="s">
        <v>73</v>
      </c>
      <c r="DF4" s="84" t="s">
        <v>74</v>
      </c>
    </row>
    <row r="5" spans="1:110" s="1" customFormat="1" ht="19.5" customHeight="1" x14ac:dyDescent="0.25">
      <c r="A5" s="10" t="s">
        <v>75</v>
      </c>
      <c r="E5" s="85"/>
      <c r="F5" s="85"/>
      <c r="G5" s="85"/>
      <c r="H5" s="88"/>
      <c r="T5" s="11"/>
      <c r="U5" s="11">
        <v>1.260974</v>
      </c>
      <c r="V5" s="11">
        <v>1.001396</v>
      </c>
      <c r="W5" s="11">
        <v>0.884328</v>
      </c>
      <c r="X5" s="11">
        <v>0.96913300000000002</v>
      </c>
      <c r="Z5" s="11">
        <v>-2.5526369999999998</v>
      </c>
      <c r="AA5" s="11">
        <v>0</v>
      </c>
      <c r="AB5" s="11">
        <v>-7.6121600000000003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>
        <v>1.2369239999999999</v>
      </c>
      <c r="AN5" s="11">
        <v>0.354045</v>
      </c>
      <c r="AO5" s="11">
        <v>0.87696799999999997</v>
      </c>
      <c r="AP5" s="11">
        <v>1.0023629999999999</v>
      </c>
      <c r="AQ5" s="11">
        <v>-0.510015</v>
      </c>
      <c r="AR5" s="11">
        <v>-0.72089599999999998</v>
      </c>
      <c r="AS5" s="11">
        <v>-0.26985199999999998</v>
      </c>
      <c r="AT5" s="11">
        <v>0</v>
      </c>
      <c r="AU5" s="11">
        <v>0</v>
      </c>
      <c r="AV5" s="11">
        <v>0</v>
      </c>
      <c r="AW5" s="11"/>
      <c r="AX5" s="11"/>
      <c r="AY5" s="11"/>
      <c r="AZ5" s="11"/>
      <c r="BA5" s="9"/>
      <c r="BB5" s="11"/>
      <c r="BC5" s="11"/>
      <c r="BD5" s="11"/>
      <c r="BE5" s="9"/>
      <c r="BF5" s="9"/>
      <c r="BG5" s="9"/>
      <c r="BH5" s="9"/>
      <c r="BI5" s="9"/>
      <c r="BK5" s="11" t="s">
        <v>76</v>
      </c>
      <c r="BL5" s="11" t="s">
        <v>76</v>
      </c>
      <c r="BM5" s="11" t="s">
        <v>76</v>
      </c>
      <c r="BN5" s="11" t="s">
        <v>77</v>
      </c>
      <c r="BO5" s="11" t="s">
        <v>77</v>
      </c>
      <c r="BP5" s="11" t="s">
        <v>77</v>
      </c>
      <c r="BQ5" s="11" t="s">
        <v>77</v>
      </c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DD5" s="85"/>
      <c r="DE5" s="85"/>
      <c r="DF5" s="85"/>
    </row>
    <row r="6" spans="1:110" x14ac:dyDescent="0.15">
      <c r="A6" s="12">
        <v>1995</v>
      </c>
      <c r="B6" s="44">
        <v>136266.69481799123</v>
      </c>
      <c r="C6" s="44">
        <v>43211.189198678352</v>
      </c>
      <c r="D6" s="44"/>
      <c r="E6" s="238"/>
      <c r="F6" s="238"/>
      <c r="G6" s="238"/>
      <c r="H6" s="89"/>
      <c r="I6" s="12"/>
      <c r="J6" s="14">
        <f t="shared" ref="J6:J24" si="0">LN(B6)</f>
        <v>11.822369235793456</v>
      </c>
      <c r="K6" s="14">
        <f t="shared" ref="K6:K24" si="1">LN(C6)</f>
        <v>10.673854749923768</v>
      </c>
      <c r="L6" s="14"/>
      <c r="M6" s="12"/>
      <c r="N6" s="44">
        <v>219492</v>
      </c>
      <c r="O6" s="44">
        <v>10590.5</v>
      </c>
      <c r="P6" s="44">
        <v>42476.530477323817</v>
      </c>
      <c r="Q6" s="44">
        <f t="shared" ref="Q6:Q24" si="2">+N6/O6</f>
        <v>20.725367074264671</v>
      </c>
      <c r="R6" s="44"/>
      <c r="S6" s="14"/>
      <c r="T6" s="14">
        <f t="shared" ref="T6:X24" si="3">LN(N6)</f>
        <v>12.299071064363925</v>
      </c>
      <c r="U6" s="14">
        <f t="shared" si="3"/>
        <v>9.2677126518340529</v>
      </c>
      <c r="V6" s="14">
        <f t="shared" si="3"/>
        <v>10.656706978317674</v>
      </c>
      <c r="W6" s="14">
        <f t="shared" si="3"/>
        <v>3.0313584125298729</v>
      </c>
      <c r="X6" s="14"/>
      <c r="Y6" s="14"/>
      <c r="Z6" s="14"/>
      <c r="AA6" s="14"/>
      <c r="AB6" s="14"/>
      <c r="AC6" s="14"/>
      <c r="AD6" s="14">
        <f t="shared" ref="AD6:AD29" si="4">BK6-$Z$5-$U$5*U6-$W$5*W6</f>
        <v>7.9464201239454191E-3</v>
      </c>
      <c r="AE6" s="14">
        <f t="shared" ref="AE6:AE29" si="5">BL6-$AA$5-$V$5*V6</f>
        <v>2.271008664363805E-3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4"/>
      <c r="AT6" s="14"/>
      <c r="AU6" s="14"/>
      <c r="AV6" s="14"/>
      <c r="AW6" s="14"/>
      <c r="AX6" s="15"/>
      <c r="AY6" s="15"/>
      <c r="AZ6" s="14"/>
      <c r="BA6" s="16"/>
      <c r="BB6" s="15"/>
      <c r="BC6" s="15"/>
      <c r="BD6" s="14"/>
      <c r="BE6" s="16"/>
      <c r="BF6" s="16"/>
      <c r="BG6" s="16"/>
      <c r="BH6" s="16"/>
      <c r="BI6" s="16"/>
      <c r="BK6" s="17">
        <f t="shared" ref="BK6:BK24" si="6">+J6</f>
        <v>11.822369235793456</v>
      </c>
      <c r="BL6" s="17">
        <f t="shared" ref="BL6:BL24" si="7">+K6</f>
        <v>10.673854749923768</v>
      </c>
      <c r="BM6" s="17"/>
      <c r="BN6" s="18">
        <f>+EXP(BK6)</f>
        <v>136266.69481799123</v>
      </c>
      <c r="BO6" s="18">
        <f>+EXP(BL6)</f>
        <v>43211.189198678359</v>
      </c>
      <c r="BP6" s="18"/>
      <c r="BQ6" s="18"/>
      <c r="BS6" s="14"/>
      <c r="BT6" s="14"/>
      <c r="BU6" s="14"/>
      <c r="BW6" s="18"/>
      <c r="BX6" s="18"/>
      <c r="BZ6" s="18"/>
      <c r="CA6" s="18"/>
      <c r="CC6" s="18"/>
      <c r="CD6" s="18"/>
      <c r="CF6" s="19">
        <v>15.241285980631645</v>
      </c>
      <c r="CG6" s="19">
        <v>3.9824360676427619</v>
      </c>
      <c r="CH6" s="19"/>
      <c r="CI6" s="19">
        <f t="shared" ref="CI6:CI29" si="8">+SUM(CK6:CM6)/SUM(B6:D6)*100</f>
        <v>12.530599388714281</v>
      </c>
      <c r="CK6" s="22">
        <f t="shared" ref="CK6:CK29" si="9">+CF6*BN6/100</f>
        <v>20768.796653564605</v>
      </c>
      <c r="CL6" s="22">
        <f t="shared" ref="CL6:CL29" si="10">+CG6*BO6/100</f>
        <v>1720.8579839055203</v>
      </c>
      <c r="CM6" s="22"/>
      <c r="CN6" s="22"/>
      <c r="CO6" s="44"/>
      <c r="CP6" s="44"/>
      <c r="CQ6" s="22"/>
      <c r="CR6" s="44"/>
      <c r="CS6" s="44"/>
      <c r="CT6" s="22"/>
      <c r="CU6" s="44"/>
      <c r="CV6" s="44"/>
      <c r="CW6" s="44"/>
      <c r="CX6" s="44"/>
      <c r="CZ6" s="22">
        <f t="shared" ref="CZ6:CZ29" si="11">+CK6+CL6+CM6+CW6+CX6</f>
        <v>22489.654637470125</v>
      </c>
      <c r="DA6" s="44"/>
      <c r="DB6" s="44"/>
    </row>
    <row r="7" spans="1:110" x14ac:dyDescent="0.15">
      <c r="A7" s="12">
        <f>A6+1</f>
        <v>1996</v>
      </c>
      <c r="B7" s="44">
        <v>145124.02998116065</v>
      </c>
      <c r="C7" s="44">
        <v>46785.81306581782</v>
      </c>
      <c r="D7" s="44">
        <v>6635.4841859518365</v>
      </c>
      <c r="E7" s="238"/>
      <c r="F7" s="238"/>
      <c r="G7" s="238"/>
      <c r="H7" s="89"/>
      <c r="I7" s="12"/>
      <c r="J7" s="14">
        <f t="shared" si="0"/>
        <v>11.885344034954844</v>
      </c>
      <c r="K7" s="14">
        <f t="shared" si="1"/>
        <v>10.753335296330359</v>
      </c>
      <c r="L7" s="14">
        <f t="shared" ref="L7:L24" si="12">LN(D7)</f>
        <v>8.8001869186255508</v>
      </c>
      <c r="M7" s="12"/>
      <c r="N7" s="44">
        <v>233056</v>
      </c>
      <c r="O7" s="44">
        <v>10812.1</v>
      </c>
      <c r="P7" s="44">
        <v>45777.288954599549</v>
      </c>
      <c r="Q7" s="44">
        <f t="shared" si="2"/>
        <v>21.555109553185783</v>
      </c>
      <c r="R7" s="44">
        <v>24070957.636875</v>
      </c>
      <c r="S7" s="14"/>
      <c r="T7" s="14">
        <f t="shared" si="3"/>
        <v>12.359034047017643</v>
      </c>
      <c r="U7" s="14">
        <f t="shared" si="3"/>
        <v>9.2884211563361792</v>
      </c>
      <c r="V7" s="14">
        <f t="shared" si="3"/>
        <v>10.731543372762209</v>
      </c>
      <c r="W7" s="14">
        <f t="shared" si="3"/>
        <v>3.0706128906814634</v>
      </c>
      <c r="X7" s="14">
        <f t="shared" si="3"/>
        <v>16.996516594463262</v>
      </c>
      <c r="Y7" s="14"/>
      <c r="Z7" s="14"/>
      <c r="AA7" s="14"/>
      <c r="AB7" s="14"/>
      <c r="AC7" s="14"/>
      <c r="AD7" s="14">
        <f t="shared" si="4"/>
        <v>1.0094499374430299E-2</v>
      </c>
      <c r="AE7" s="14">
        <f t="shared" si="5"/>
        <v>6.8106890197743297E-3</v>
      </c>
      <c r="AF7" s="14">
        <f t="shared" ref="AF7:AF29" si="13">BM7-$X$5*X7-$AB$5</f>
        <v>-5.9538198116414698E-2</v>
      </c>
      <c r="AG7" s="14"/>
      <c r="AH7" s="14">
        <f t="shared" ref="AH7:AH29" si="14">U7-U6</f>
        <v>2.0708504502126246E-2</v>
      </c>
      <c r="AI7" s="14">
        <f t="shared" ref="AI7:AI29" si="15">V7-V6</f>
        <v>7.4836394444535159E-2</v>
      </c>
      <c r="AJ7" s="14">
        <f t="shared" ref="AJ7:AJ29" si="16">W7-W6</f>
        <v>3.9254478151590444E-2</v>
      </c>
      <c r="AK7" s="14"/>
      <c r="AL7" s="14"/>
      <c r="AM7" s="14">
        <f t="shared" ref="AM7:AM29" si="17">+AH7*$AM$5</f>
        <v>2.5614846222788003E-2</v>
      </c>
      <c r="AN7" s="14"/>
      <c r="AO7" s="14">
        <f t="shared" ref="AO7:AO29" si="18">+AJ7*$AO$5</f>
        <v>3.442492119564397E-2</v>
      </c>
      <c r="AP7" s="14"/>
      <c r="AQ7" s="15"/>
      <c r="AR7" s="15">
        <f t="shared" ref="AR7:AR29" si="19">+$AR$5*AE6</f>
        <v>-1.6371610621052095E-3</v>
      </c>
      <c r="AS7" s="15"/>
      <c r="AT7" s="14">
        <f t="shared" ref="AT7:AV22" si="20">+AT5</f>
        <v>0</v>
      </c>
      <c r="AU7" s="14">
        <f t="shared" si="20"/>
        <v>0</v>
      </c>
      <c r="AV7" s="14"/>
      <c r="AW7" s="14"/>
      <c r="AX7" s="15"/>
      <c r="AY7" s="15">
        <f t="shared" ref="AY7:AY29" si="21">+AN7+AR7+AU7</f>
        <v>-1.6371610621052095E-3</v>
      </c>
      <c r="AZ7" s="15"/>
      <c r="BA7" s="16"/>
      <c r="BB7" s="15"/>
      <c r="BC7" s="15">
        <f t="shared" ref="BC7:BC24" si="22">+(K7-K6)-AY7</f>
        <v>8.1117707468696509E-2</v>
      </c>
      <c r="BD7" s="15"/>
      <c r="BE7" s="16"/>
      <c r="BF7" s="16">
        <f t="shared" ref="BF7:BF24" si="23">(O7/O6-1)*100</f>
        <v>2.0924413389358465</v>
      </c>
      <c r="BG7" s="16">
        <f t="shared" ref="BG7:BG24" si="24">(P7/P6-1)*100</f>
        <v>7.7707817474354401</v>
      </c>
      <c r="BH7" s="16">
        <f t="shared" ref="BH7:BH24" si="25">(Q7/Q6-1)*100</f>
        <v>4.0035116191086795</v>
      </c>
      <c r="BI7" s="16"/>
      <c r="BK7" s="17">
        <f t="shared" si="6"/>
        <v>11.885344034954844</v>
      </c>
      <c r="BL7" s="17">
        <f t="shared" si="7"/>
        <v>10.753335296330359</v>
      </c>
      <c r="BM7" s="17">
        <f t="shared" ref="BM7:BM24" si="26">+L7</f>
        <v>8.8001869186255508</v>
      </c>
      <c r="BN7" s="18">
        <f t="shared" ref="BN7:BP29" si="27">+EXP(BK7)</f>
        <v>145124.02998116065</v>
      </c>
      <c r="BO7" s="18">
        <f t="shared" si="27"/>
        <v>46785.813065817842</v>
      </c>
      <c r="BP7" s="18">
        <f t="shared" si="27"/>
        <v>6635.4841859518365</v>
      </c>
      <c r="BQ7" s="18">
        <f>+SUM(BN7:BP7)</f>
        <v>198545.32723293034</v>
      </c>
      <c r="BS7" s="14"/>
      <c r="BT7" s="14"/>
      <c r="BU7" s="14"/>
      <c r="BW7" s="18"/>
      <c r="BX7" s="18"/>
      <c r="BZ7" s="18"/>
      <c r="CA7" s="18"/>
      <c r="CC7" s="18"/>
      <c r="CD7" s="18"/>
      <c r="CF7" s="19">
        <v>15.381730537530391</v>
      </c>
      <c r="CG7" s="19">
        <v>4.2097783062576379</v>
      </c>
      <c r="CH7" s="19"/>
      <c r="CI7" s="19">
        <f t="shared" si="8"/>
        <v>12.235073262267615</v>
      </c>
      <c r="CK7" s="22">
        <f t="shared" si="9"/>
        <v>22322.587236906948</v>
      </c>
      <c r="CL7" s="22">
        <f t="shared" si="10"/>
        <v>1969.579008851051</v>
      </c>
      <c r="CM7" s="22"/>
      <c r="CN7" s="22"/>
      <c r="CO7" s="44"/>
      <c r="CP7" s="44"/>
      <c r="CQ7" s="22"/>
      <c r="CR7" s="44"/>
      <c r="CS7" s="44"/>
      <c r="CT7" s="22"/>
      <c r="CU7" s="44"/>
      <c r="CV7" s="44"/>
      <c r="CW7" s="44"/>
      <c r="CX7" s="44"/>
      <c r="CZ7" s="22">
        <f t="shared" si="11"/>
        <v>24292.166245757999</v>
      </c>
      <c r="DA7" s="44"/>
      <c r="DB7" s="44"/>
    </row>
    <row r="8" spans="1:110" x14ac:dyDescent="0.15">
      <c r="A8" s="12">
        <f t="shared" ref="A8:A28" si="28">A7+1</f>
        <v>1997</v>
      </c>
      <c r="B8" s="44">
        <v>152960.72760014335</v>
      </c>
      <c r="C8" s="44">
        <v>48936.374118183929</v>
      </c>
      <c r="D8" s="44">
        <v>6462.9615971170888</v>
      </c>
      <c r="E8" s="238"/>
      <c r="F8" s="238"/>
      <c r="G8" s="238"/>
      <c r="H8" s="89"/>
      <c r="I8" s="12"/>
      <c r="J8" s="14">
        <f t="shared" si="0"/>
        <v>11.937936485074015</v>
      </c>
      <c r="K8" s="14">
        <f t="shared" si="1"/>
        <v>10.798276245943528</v>
      </c>
      <c r="L8" s="14">
        <f t="shared" si="12"/>
        <v>8.773842943285949</v>
      </c>
      <c r="M8" s="12"/>
      <c r="N8" s="44">
        <v>251313</v>
      </c>
      <c r="O8" s="44">
        <v>11402.699999999999</v>
      </c>
      <c r="P8" s="44">
        <v>48288.91853881938</v>
      </c>
      <c r="Q8" s="44">
        <f t="shared" si="2"/>
        <v>22.039780052092926</v>
      </c>
      <c r="R8" s="44">
        <v>22883827.460625004</v>
      </c>
      <c r="S8" s="14"/>
      <c r="T8" s="14">
        <f t="shared" si="3"/>
        <v>12.434454453192489</v>
      </c>
      <c r="U8" s="14">
        <f t="shared" si="3"/>
        <v>9.3416054484451863</v>
      </c>
      <c r="V8" s="14">
        <f t="shared" si="3"/>
        <v>10.784957383479505</v>
      </c>
      <c r="W8" s="14">
        <f t="shared" si="3"/>
        <v>3.0928490047473014</v>
      </c>
      <c r="X8" s="14">
        <f t="shared" si="3"/>
        <v>16.945940994603671</v>
      </c>
      <c r="Y8" s="14"/>
      <c r="Z8" s="14"/>
      <c r="AA8" s="14"/>
      <c r="AB8" s="14"/>
      <c r="AC8" s="14"/>
      <c r="AD8" s="14">
        <f t="shared" si="4"/>
        <v>-2.4041078343875366E-2</v>
      </c>
      <c r="AE8" s="14">
        <f t="shared" si="5"/>
        <v>-1.7369380433134296E-3</v>
      </c>
      <c r="AF8" s="14">
        <f t="shared" si="13"/>
        <v>-3.6867690637289563E-2</v>
      </c>
      <c r="AG8" s="14"/>
      <c r="AH8" s="14">
        <f t="shared" si="14"/>
        <v>5.3184292109007103E-2</v>
      </c>
      <c r="AI8" s="14">
        <f t="shared" si="15"/>
        <v>5.3414010717295568E-2</v>
      </c>
      <c r="AJ8" s="14">
        <f t="shared" si="16"/>
        <v>2.2236114065838031E-2</v>
      </c>
      <c r="AK8" s="14">
        <f t="shared" ref="AK8:AK29" si="29">X8-X7</f>
        <v>-5.0575599859591591E-2</v>
      </c>
      <c r="AL8" s="14"/>
      <c r="AM8" s="14">
        <f t="shared" si="17"/>
        <v>6.5784927332641491E-2</v>
      </c>
      <c r="AN8" s="14">
        <f t="shared" ref="AN8:AN29" si="30">+AI7*$AN$5</f>
        <v>2.6495451271115449E-2</v>
      </c>
      <c r="AO8" s="14">
        <f t="shared" si="18"/>
        <v>1.9500360480089844E-2</v>
      </c>
      <c r="AP8" s="14">
        <f t="shared" ref="AP8:AP29" si="31">+AK8*$AP$5</f>
        <v>-5.0695110002059798E-2</v>
      </c>
      <c r="AQ8" s="15">
        <f t="shared" ref="AQ8:AQ29" si="32">+$AQ$5*AD7</f>
        <v>-5.1483460984500691E-3</v>
      </c>
      <c r="AR8" s="15">
        <f t="shared" si="19"/>
        <v>-4.9097984715992353E-3</v>
      </c>
      <c r="AS8" s="15">
        <f t="shared" ref="AS8:AS29" si="33">+$AS$5*AF7</f>
        <v>1.6066501838110737E-2</v>
      </c>
      <c r="AT8" s="14">
        <f t="shared" si="20"/>
        <v>0</v>
      </c>
      <c r="AU8" s="14">
        <f t="shared" si="20"/>
        <v>0</v>
      </c>
      <c r="AV8" s="14">
        <f t="shared" si="20"/>
        <v>0</v>
      </c>
      <c r="AW8" s="14"/>
      <c r="AX8" s="15">
        <f t="shared" ref="AX8:AX29" si="34">+AM8+AO8+AQ8+AT8</f>
        <v>8.0136941714281276E-2</v>
      </c>
      <c r="AY8" s="15">
        <f t="shared" si="21"/>
        <v>2.1585652799516214E-2</v>
      </c>
      <c r="AZ8" s="15">
        <f t="shared" ref="AZ8:AZ26" si="35">+AP8+AS8+AV8</f>
        <v>-3.4628608163949061E-2</v>
      </c>
      <c r="BA8" s="16"/>
      <c r="BB8" s="15">
        <f t="shared" ref="BB8:BB24" si="36">+(J8-J7)-AX8</f>
        <v>-2.7544491595110257E-2</v>
      </c>
      <c r="BC8" s="15">
        <f t="shared" si="22"/>
        <v>2.3355296813652754E-2</v>
      </c>
      <c r="BD8" s="15">
        <f t="shared" ref="BD8:BD24" si="37">+(L8-L7)-AZ8</f>
        <v>8.2846328243473058E-3</v>
      </c>
      <c r="BE8" s="16"/>
      <c r="BF8" s="16">
        <f t="shared" si="23"/>
        <v>5.4623986089658683</v>
      </c>
      <c r="BG8" s="16">
        <f t="shared" si="24"/>
        <v>5.486628067273247</v>
      </c>
      <c r="BH8" s="16">
        <f t="shared" si="25"/>
        <v>2.248517910388026</v>
      </c>
      <c r="BI8" s="16">
        <f t="shared" ref="BI8:BI24" si="38">(R8/R7-1)*100</f>
        <v>-4.9317945474317</v>
      </c>
      <c r="BK8" s="17">
        <f t="shared" si="6"/>
        <v>11.937936485074015</v>
      </c>
      <c r="BL8" s="17">
        <f t="shared" si="7"/>
        <v>10.798276245943528</v>
      </c>
      <c r="BM8" s="17">
        <f t="shared" si="26"/>
        <v>8.773842943285949</v>
      </c>
      <c r="BN8" s="18">
        <f t="shared" si="27"/>
        <v>152960.72760014338</v>
      </c>
      <c r="BO8" s="18">
        <f t="shared" si="27"/>
        <v>48936.374118183958</v>
      </c>
      <c r="BP8" s="18">
        <f t="shared" si="27"/>
        <v>6462.9615971170897</v>
      </c>
      <c r="BQ8" s="18">
        <f t="shared" ref="BQ8:BQ29" si="39">+SUM(BN8:BP8)</f>
        <v>208360.06331544442</v>
      </c>
      <c r="BS8" s="14"/>
      <c r="BT8" s="14"/>
      <c r="BU8" s="14"/>
      <c r="BW8" s="18"/>
      <c r="BX8" s="18"/>
      <c r="BZ8" s="18"/>
      <c r="CA8" s="18"/>
      <c r="CC8" s="18"/>
      <c r="CD8" s="18"/>
      <c r="CF8" s="19">
        <v>15.292145095838878</v>
      </c>
      <c r="CG8" s="19">
        <v>4.4126939155418636</v>
      </c>
      <c r="CH8" s="19"/>
      <c r="CI8" s="19">
        <f t="shared" si="8"/>
        <v>12.262613286300923</v>
      </c>
      <c r="CK8" s="22">
        <f t="shared" si="9"/>
        <v>23390.976404264788</v>
      </c>
      <c r="CL8" s="22">
        <f t="shared" si="10"/>
        <v>2159.4124031999067</v>
      </c>
      <c r="CM8" s="22"/>
      <c r="CN8" s="22"/>
      <c r="CO8" s="44"/>
      <c r="CP8" s="44"/>
      <c r="CQ8" s="22"/>
      <c r="CR8" s="44"/>
      <c r="CS8" s="44"/>
      <c r="CT8" s="22"/>
      <c r="CU8" s="44"/>
      <c r="CV8" s="44"/>
      <c r="CW8" s="44"/>
      <c r="CX8" s="44"/>
      <c r="CZ8" s="22">
        <f t="shared" si="11"/>
        <v>25550.388807464693</v>
      </c>
      <c r="DA8" s="44"/>
      <c r="DB8" s="44"/>
      <c r="DD8" s="86"/>
      <c r="DE8" s="86"/>
      <c r="DF8" s="86"/>
    </row>
    <row r="9" spans="1:110" x14ac:dyDescent="0.15">
      <c r="A9" s="12">
        <f t="shared" si="28"/>
        <v>1998</v>
      </c>
      <c r="B9" s="44">
        <v>166115.35017375567</v>
      </c>
      <c r="C9" s="44">
        <v>51320.935848492474</v>
      </c>
      <c r="D9" s="44">
        <v>6113.9616708727654</v>
      </c>
      <c r="E9" s="238"/>
      <c r="F9" s="238"/>
      <c r="G9" s="238"/>
      <c r="H9" s="89"/>
      <c r="I9" s="12"/>
      <c r="J9" s="14">
        <f t="shared" si="0"/>
        <v>12.020437706585758</v>
      </c>
      <c r="K9" s="14">
        <f t="shared" si="1"/>
        <v>10.845854054114602</v>
      </c>
      <c r="L9" s="14">
        <f t="shared" si="12"/>
        <v>8.7183302333556902</v>
      </c>
      <c r="M9" s="12"/>
      <c r="N9" s="44">
        <v>268361</v>
      </c>
      <c r="O9" s="44">
        <v>11942.3</v>
      </c>
      <c r="P9" s="44">
        <v>50827.593667736466</v>
      </c>
      <c r="Q9" s="44">
        <f t="shared" si="2"/>
        <v>22.471466970349098</v>
      </c>
      <c r="R9" s="44">
        <v>21739463.521874998</v>
      </c>
      <c r="S9" s="14"/>
      <c r="T9" s="14">
        <f t="shared" si="3"/>
        <v>12.500088368007637</v>
      </c>
      <c r="U9" s="14">
        <f t="shared" si="3"/>
        <v>9.3878419982115968</v>
      </c>
      <c r="V9" s="14">
        <f t="shared" si="3"/>
        <v>10.836194668532151</v>
      </c>
      <c r="W9" s="14">
        <f t="shared" si="3"/>
        <v>3.1122463697960394</v>
      </c>
      <c r="X9" s="14">
        <f t="shared" si="3"/>
        <v>16.894639762346184</v>
      </c>
      <c r="Y9" s="14"/>
      <c r="Z9" s="14"/>
      <c r="AA9" s="14"/>
      <c r="AB9" s="14"/>
      <c r="AC9" s="14"/>
      <c r="AD9" s="14">
        <f t="shared" si="4"/>
        <v>-1.6996576976104905E-2</v>
      </c>
      <c r="AE9" s="14">
        <f t="shared" si="5"/>
        <v>-5.4679421748193846E-3</v>
      </c>
      <c r="AF9" s="14">
        <f t="shared" si="13"/>
        <v>-4.2662683446155647E-2</v>
      </c>
      <c r="AG9" s="14"/>
      <c r="AH9" s="14">
        <f t="shared" si="14"/>
        <v>4.6236549766410562E-2</v>
      </c>
      <c r="AI9" s="14">
        <f t="shared" si="15"/>
        <v>5.1237285052646797E-2</v>
      </c>
      <c r="AJ9" s="14">
        <f t="shared" si="16"/>
        <v>1.9397365048738013E-2</v>
      </c>
      <c r="AK9" s="14">
        <f t="shared" si="29"/>
        <v>-5.1301232257486618E-2</v>
      </c>
      <c r="AL9" s="14"/>
      <c r="AM9" s="14">
        <f t="shared" si="17"/>
        <v>5.7191098083267611E-2</v>
      </c>
      <c r="AN9" s="14">
        <f t="shared" si="30"/>
        <v>1.891096342440491E-2</v>
      </c>
      <c r="AO9" s="14">
        <f t="shared" si="18"/>
        <v>1.7010868432061677E-2</v>
      </c>
      <c r="AP9" s="14">
        <f t="shared" si="31"/>
        <v>-5.1422457069311055E-2</v>
      </c>
      <c r="AQ9" s="15">
        <f t="shared" si="32"/>
        <v>1.2261310571551595E-2</v>
      </c>
      <c r="AR9" s="15">
        <f t="shared" si="19"/>
        <v>1.2521516876724782E-3</v>
      </c>
      <c r="AS9" s="15">
        <f t="shared" si="33"/>
        <v>9.9488200538538629E-3</v>
      </c>
      <c r="AT9" s="14">
        <f t="shared" si="20"/>
        <v>0</v>
      </c>
      <c r="AU9" s="14">
        <f t="shared" si="20"/>
        <v>0</v>
      </c>
      <c r="AV9" s="14">
        <f t="shared" si="20"/>
        <v>0</v>
      </c>
      <c r="AW9" s="14"/>
      <c r="AX9" s="15">
        <f t="shared" si="34"/>
        <v>8.6463277086880883E-2</v>
      </c>
      <c r="AY9" s="15">
        <f t="shared" si="21"/>
        <v>2.0163115112077388E-2</v>
      </c>
      <c r="AZ9" s="15">
        <f t="shared" si="35"/>
        <v>-4.1473637015457192E-2</v>
      </c>
      <c r="BA9" s="16"/>
      <c r="BB9" s="15">
        <f t="shared" si="36"/>
        <v>-3.9620555751379988E-3</v>
      </c>
      <c r="BC9" s="15">
        <f t="shared" si="22"/>
        <v>2.7414693058996211E-2</v>
      </c>
      <c r="BD9" s="15">
        <f t="shared" si="37"/>
        <v>-1.4039072914801616E-2</v>
      </c>
      <c r="BE9" s="16"/>
      <c r="BF9" s="16">
        <f t="shared" si="23"/>
        <v>4.7322125461513487</v>
      </c>
      <c r="BG9" s="16">
        <f t="shared" si="24"/>
        <v>5.257262340377844</v>
      </c>
      <c r="BH9" s="16">
        <f t="shared" si="25"/>
        <v>1.9586716257414594</v>
      </c>
      <c r="BI9" s="16">
        <f t="shared" si="38"/>
        <v>-5.0007540946507056</v>
      </c>
      <c r="BK9" s="17">
        <f t="shared" si="6"/>
        <v>12.020437706585758</v>
      </c>
      <c r="BL9" s="17">
        <f t="shared" si="7"/>
        <v>10.845854054114602</v>
      </c>
      <c r="BM9" s="17">
        <f t="shared" si="26"/>
        <v>8.7183302333556902</v>
      </c>
      <c r="BN9" s="18">
        <f t="shared" si="27"/>
        <v>166115.35017375558</v>
      </c>
      <c r="BO9" s="18">
        <f t="shared" si="27"/>
        <v>51320.935848492445</v>
      </c>
      <c r="BP9" s="18">
        <f t="shared" si="27"/>
        <v>6113.9616708727672</v>
      </c>
      <c r="BQ9" s="18">
        <f t="shared" si="39"/>
        <v>223550.24769312079</v>
      </c>
      <c r="BS9" s="14"/>
      <c r="BT9" s="14"/>
      <c r="BU9" s="14"/>
      <c r="BW9" s="18"/>
      <c r="BX9" s="18"/>
      <c r="BZ9" s="18"/>
      <c r="CA9" s="18"/>
      <c r="CC9" s="18"/>
      <c r="CD9" s="18"/>
      <c r="CF9" s="19">
        <v>15.302923000411136</v>
      </c>
      <c r="CG9" s="19">
        <v>4.6596497555181688</v>
      </c>
      <c r="CH9" s="19"/>
      <c r="CI9" s="19">
        <f t="shared" si="8"/>
        <v>12.440997170768462</v>
      </c>
      <c r="CK9" s="22">
        <f t="shared" si="9"/>
        <v>25420.504128953144</v>
      </c>
      <c r="CL9" s="22">
        <f t="shared" si="10"/>
        <v>2391.3758617939147</v>
      </c>
      <c r="CM9" s="22"/>
      <c r="CN9" s="22"/>
      <c r="CO9" s="44"/>
      <c r="CP9" s="44"/>
      <c r="CQ9" s="22"/>
      <c r="CR9" s="44"/>
      <c r="CS9" s="44"/>
      <c r="CT9" s="22"/>
      <c r="CU9" s="44"/>
      <c r="CV9" s="44"/>
      <c r="CW9" s="44"/>
      <c r="CX9" s="44"/>
      <c r="CZ9" s="22">
        <f t="shared" si="11"/>
        <v>27811.87999074706</v>
      </c>
      <c r="DA9" s="44"/>
      <c r="DB9" s="44"/>
      <c r="DD9" s="86"/>
      <c r="DE9" s="86"/>
      <c r="DF9" s="86"/>
    </row>
    <row r="10" spans="1:110" x14ac:dyDescent="0.15">
      <c r="A10" s="12">
        <f t="shared" si="28"/>
        <v>1999</v>
      </c>
      <c r="B10" s="44">
        <v>183557.46194199997</v>
      </c>
      <c r="C10" s="44">
        <v>54014.311425999993</v>
      </c>
      <c r="D10" s="44">
        <v>5814.3775489999998</v>
      </c>
      <c r="E10" s="238"/>
      <c r="F10" s="238"/>
      <c r="G10" s="238"/>
      <c r="H10" s="89"/>
      <c r="I10" s="12"/>
      <c r="J10" s="14">
        <f t="shared" si="0"/>
        <v>12.120283041555474</v>
      </c>
      <c r="K10" s="14">
        <f t="shared" si="1"/>
        <v>10.897004316840524</v>
      </c>
      <c r="L10" s="14">
        <f t="shared" si="12"/>
        <v>8.6680890169189428</v>
      </c>
      <c r="M10" s="12"/>
      <c r="N10" s="44">
        <v>288624</v>
      </c>
      <c r="O10" s="44">
        <v>12594.3</v>
      </c>
      <c r="P10" s="44">
        <v>53510.511701705676</v>
      </c>
      <c r="Q10" s="44">
        <f t="shared" si="2"/>
        <v>22.917033896286416</v>
      </c>
      <c r="R10" s="44">
        <v>20883505.080555562</v>
      </c>
      <c r="S10" s="14"/>
      <c r="T10" s="14">
        <f t="shared" si="3"/>
        <v>12.57288008194746</v>
      </c>
      <c r="U10" s="14">
        <f t="shared" si="3"/>
        <v>9.4409996096320548</v>
      </c>
      <c r="V10" s="14">
        <f t="shared" si="3"/>
        <v>10.887633393990065</v>
      </c>
      <c r="W10" s="14">
        <f t="shared" si="3"/>
        <v>3.1318804723154043</v>
      </c>
      <c r="X10" s="14">
        <f t="shared" si="3"/>
        <v>16.85447017473318</v>
      </c>
      <c r="Y10" s="14"/>
      <c r="Z10" s="14"/>
      <c r="AA10" s="14"/>
      <c r="AB10" s="14"/>
      <c r="AC10" s="14"/>
      <c r="AD10" s="14">
        <f t="shared" si="4"/>
        <v>-1.5445945224330515E-3</v>
      </c>
      <c r="AE10" s="14">
        <f t="shared" si="5"/>
        <v>-5.828213367550461E-3</v>
      </c>
      <c r="AF10" s="14">
        <f t="shared" si="13"/>
        <v>-5.3974226930749047E-2</v>
      </c>
      <c r="AG10" s="14"/>
      <c r="AH10" s="14">
        <f t="shared" si="14"/>
        <v>5.315761142045794E-2</v>
      </c>
      <c r="AI10" s="14">
        <f t="shared" si="15"/>
        <v>5.1438725457913392E-2</v>
      </c>
      <c r="AJ10" s="14">
        <f t="shared" si="16"/>
        <v>1.9634102519364927E-2</v>
      </c>
      <c r="AK10" s="14">
        <f t="shared" si="29"/>
        <v>-4.0169587613004154E-2</v>
      </c>
      <c r="AL10" s="14"/>
      <c r="AM10" s="14">
        <f t="shared" si="17"/>
        <v>6.575192534863851E-2</v>
      </c>
      <c r="AN10" s="14">
        <f t="shared" si="30"/>
        <v>1.8140304586464335E-2</v>
      </c>
      <c r="AO10" s="14">
        <f t="shared" si="18"/>
        <v>1.7218479618202422E-2</v>
      </c>
      <c r="AP10" s="14">
        <f t="shared" si="31"/>
        <v>-4.0264508348533679E-2</v>
      </c>
      <c r="AQ10" s="15">
        <f t="shared" si="32"/>
        <v>8.6685092064681425E-3</v>
      </c>
      <c r="AR10" s="15">
        <f t="shared" si="19"/>
        <v>3.9418176420585949E-3</v>
      </c>
      <c r="AS10" s="15">
        <f t="shared" si="33"/>
        <v>1.1512610453311993E-2</v>
      </c>
      <c r="AT10" s="14">
        <f t="shared" si="20"/>
        <v>0</v>
      </c>
      <c r="AU10" s="14">
        <f t="shared" si="20"/>
        <v>0</v>
      </c>
      <c r="AV10" s="14">
        <f t="shared" si="20"/>
        <v>0</v>
      </c>
      <c r="AW10" s="14"/>
      <c r="AX10" s="15">
        <f t="shared" si="34"/>
        <v>9.1638914173309077E-2</v>
      </c>
      <c r="AY10" s="15">
        <f t="shared" si="21"/>
        <v>2.2082122228522929E-2</v>
      </c>
      <c r="AZ10" s="15">
        <f t="shared" si="35"/>
        <v>-2.8751897895221687E-2</v>
      </c>
      <c r="BA10" s="16"/>
      <c r="BB10" s="15">
        <f t="shared" si="36"/>
        <v>8.2064207964070712E-3</v>
      </c>
      <c r="BC10" s="15">
        <f t="shared" si="22"/>
        <v>2.9068140497399673E-2</v>
      </c>
      <c r="BD10" s="15">
        <f t="shared" si="37"/>
        <v>-2.1489318541525707E-2</v>
      </c>
      <c r="BE10" s="16"/>
      <c r="BF10" s="16">
        <f t="shared" si="23"/>
        <v>5.45958483709168</v>
      </c>
      <c r="BG10" s="16">
        <f t="shared" si="24"/>
        <v>5.2784675416814641</v>
      </c>
      <c r="BH10" s="16">
        <f t="shared" si="25"/>
        <v>1.9828119211141804</v>
      </c>
      <c r="BI10" s="16">
        <f t="shared" si="38"/>
        <v>-3.9373485019910448</v>
      </c>
      <c r="BK10" s="17">
        <f t="shared" si="6"/>
        <v>12.120283041555474</v>
      </c>
      <c r="BL10" s="17">
        <f t="shared" si="7"/>
        <v>10.897004316840524</v>
      </c>
      <c r="BM10" s="17">
        <f t="shared" si="26"/>
        <v>8.6680890169189428</v>
      </c>
      <c r="BN10" s="18">
        <f t="shared" si="27"/>
        <v>183557.46194199994</v>
      </c>
      <c r="BO10" s="18">
        <f t="shared" si="27"/>
        <v>54014.311426</v>
      </c>
      <c r="BP10" s="18">
        <f t="shared" si="27"/>
        <v>5814.377548999998</v>
      </c>
      <c r="BQ10" s="18">
        <f t="shared" si="39"/>
        <v>243386.15091699993</v>
      </c>
      <c r="BS10" s="14"/>
      <c r="BT10" s="14"/>
      <c r="BU10" s="14"/>
      <c r="BW10" s="18"/>
      <c r="BX10" s="18"/>
      <c r="BZ10" s="18"/>
      <c r="CA10" s="18"/>
      <c r="CC10" s="18"/>
      <c r="CD10" s="18"/>
      <c r="CF10" s="19">
        <v>13.381918705523136</v>
      </c>
      <c r="CG10" s="19">
        <v>3.7368060717856908</v>
      </c>
      <c r="CH10" s="19"/>
      <c r="CI10" s="19">
        <f t="shared" si="8"/>
        <v>10.921706228496552</v>
      </c>
      <c r="CK10" s="22">
        <f t="shared" si="9"/>
        <v>24563.510334999999</v>
      </c>
      <c r="CL10" s="22">
        <f t="shared" si="10"/>
        <v>2018.410069</v>
      </c>
      <c r="CM10" s="22"/>
      <c r="CN10" s="22"/>
      <c r="CO10" s="44"/>
      <c r="CP10" s="44"/>
      <c r="CQ10" s="22"/>
      <c r="CR10" s="44"/>
      <c r="CS10" s="44"/>
      <c r="CT10" s="22"/>
      <c r="CU10" s="44"/>
      <c r="CV10" s="44"/>
      <c r="CW10" s="44"/>
      <c r="CX10" s="44"/>
      <c r="CZ10" s="22">
        <f t="shared" si="11"/>
        <v>26581.920404</v>
      </c>
      <c r="DA10" s="44"/>
      <c r="DB10" s="44"/>
      <c r="DD10" s="86"/>
      <c r="DE10" s="86"/>
      <c r="DF10" s="86"/>
    </row>
    <row r="11" spans="1:110" x14ac:dyDescent="0.15">
      <c r="A11" s="12">
        <f t="shared" si="28"/>
        <v>2000</v>
      </c>
      <c r="B11" s="44">
        <v>202105.93634700001</v>
      </c>
      <c r="C11" s="44">
        <v>57106.628496999998</v>
      </c>
      <c r="D11" s="44">
        <v>6008.4594079999997</v>
      </c>
      <c r="E11" s="238"/>
      <c r="F11" s="238"/>
      <c r="G11" s="238"/>
      <c r="H11" s="89"/>
      <c r="I11" s="12"/>
      <c r="J11" s="14">
        <f t="shared" si="0"/>
        <v>12.216547276275515</v>
      </c>
      <c r="K11" s="14">
        <f t="shared" si="1"/>
        <v>10.952675474668492</v>
      </c>
      <c r="L11" s="14">
        <f t="shared" si="12"/>
        <v>8.7009236565658643</v>
      </c>
      <c r="M11" s="12"/>
      <c r="N11" s="44">
        <v>313263</v>
      </c>
      <c r="O11" s="44">
        <v>13283.4</v>
      </c>
      <c r="P11" s="44">
        <v>56305.818999194649</v>
      </c>
      <c r="Q11" s="44">
        <f t="shared" si="2"/>
        <v>23.583043497899634</v>
      </c>
      <c r="R11" s="44">
        <v>21169571.666111112</v>
      </c>
      <c r="S11" s="14"/>
      <c r="T11" s="14">
        <f t="shared" si="3"/>
        <v>12.65479837229624</v>
      </c>
      <c r="U11" s="14">
        <f t="shared" si="3"/>
        <v>9.494270414358235</v>
      </c>
      <c r="V11" s="14">
        <f t="shared" si="3"/>
        <v>10.938553165788496</v>
      </c>
      <c r="W11" s="14">
        <f t="shared" si="3"/>
        <v>3.160527957938005</v>
      </c>
      <c r="X11" s="14">
        <f t="shared" si="3"/>
        <v>16.868075409845947</v>
      </c>
      <c r="Y11" s="14"/>
      <c r="Z11" s="14"/>
      <c r="AA11" s="14"/>
      <c r="AB11" s="14"/>
      <c r="AC11" s="14"/>
      <c r="AD11" s="14">
        <f t="shared" si="4"/>
        <v>2.2127668131521894E-3</v>
      </c>
      <c r="AE11" s="14">
        <f t="shared" si="5"/>
        <v>-1.147911339444363E-3</v>
      </c>
      <c r="AF11" s="14">
        <f t="shared" si="13"/>
        <v>-3.4324869604366093E-2</v>
      </c>
      <c r="AG11" s="14"/>
      <c r="AH11" s="14">
        <f t="shared" si="14"/>
        <v>5.3270804726180288E-2</v>
      </c>
      <c r="AI11" s="14">
        <f t="shared" si="15"/>
        <v>5.0919771798431768E-2</v>
      </c>
      <c r="AJ11" s="14">
        <f t="shared" si="16"/>
        <v>2.8647485622600666E-2</v>
      </c>
      <c r="AK11" s="14">
        <f t="shared" si="29"/>
        <v>1.3605235112766678E-2</v>
      </c>
      <c r="AL11" s="14"/>
      <c r="AM11" s="14">
        <f t="shared" si="17"/>
        <v>6.5891936865125816E-2</v>
      </c>
      <c r="AN11" s="14">
        <f t="shared" si="30"/>
        <v>1.8211623554746946E-2</v>
      </c>
      <c r="AO11" s="14">
        <f t="shared" si="18"/>
        <v>2.512292817148086E-2</v>
      </c>
      <c r="AP11" s="14">
        <f t="shared" si="31"/>
        <v>1.3637384283338144E-2</v>
      </c>
      <c r="AQ11" s="15">
        <f t="shared" si="32"/>
        <v>7.8776637535869277E-4</v>
      </c>
      <c r="AR11" s="15">
        <f t="shared" si="19"/>
        <v>4.2015357038136568E-3</v>
      </c>
      <c r="AS11" s="15">
        <f t="shared" si="33"/>
        <v>1.4565053085716491E-2</v>
      </c>
      <c r="AT11" s="14">
        <f t="shared" si="20"/>
        <v>0</v>
      </c>
      <c r="AU11" s="14">
        <f t="shared" si="20"/>
        <v>0</v>
      </c>
      <c r="AV11" s="14">
        <f t="shared" si="20"/>
        <v>0</v>
      </c>
      <c r="AW11" s="14"/>
      <c r="AX11" s="15">
        <f t="shared" si="34"/>
        <v>9.1802631411965374E-2</v>
      </c>
      <c r="AY11" s="15">
        <f t="shared" si="21"/>
        <v>2.2413159258560602E-2</v>
      </c>
      <c r="AZ11" s="15">
        <f t="shared" si="35"/>
        <v>2.8202437369054634E-2</v>
      </c>
      <c r="BA11" s="16"/>
      <c r="BB11" s="15">
        <f t="shared" si="36"/>
        <v>4.4616033080750461E-3</v>
      </c>
      <c r="BC11" s="15">
        <f t="shared" si="22"/>
        <v>3.3257998569407227E-2</v>
      </c>
      <c r="BD11" s="15">
        <f t="shared" si="37"/>
        <v>4.6322022778668252E-3</v>
      </c>
      <c r="BE11" s="16"/>
      <c r="BF11" s="16">
        <f t="shared" si="23"/>
        <v>5.4715228317572251</v>
      </c>
      <c r="BG11" s="16">
        <f t="shared" si="24"/>
        <v>5.2238470696587935</v>
      </c>
      <c r="BH11" s="16">
        <f t="shared" si="25"/>
        <v>2.9061771459051755</v>
      </c>
      <c r="BI11" s="16">
        <f t="shared" si="38"/>
        <v>1.369820748251227</v>
      </c>
      <c r="BK11" s="17">
        <f t="shared" si="6"/>
        <v>12.216547276275515</v>
      </c>
      <c r="BL11" s="17">
        <f t="shared" si="7"/>
        <v>10.952675474668492</v>
      </c>
      <c r="BM11" s="17">
        <f t="shared" si="26"/>
        <v>8.7009236565658643</v>
      </c>
      <c r="BN11" s="18">
        <f t="shared" si="27"/>
        <v>202105.93634699984</v>
      </c>
      <c r="BO11" s="18">
        <f t="shared" si="27"/>
        <v>57106.628496999998</v>
      </c>
      <c r="BP11" s="18">
        <f t="shared" si="27"/>
        <v>6008.4594079999979</v>
      </c>
      <c r="BQ11" s="18">
        <f>+SUM(BN11:BP11)</f>
        <v>265221.02425199986</v>
      </c>
      <c r="BS11" s="14"/>
      <c r="BT11" s="14"/>
      <c r="BU11" s="14"/>
      <c r="BW11" s="18"/>
      <c r="BX11" s="18"/>
      <c r="BZ11" s="18"/>
      <c r="CA11" s="18"/>
      <c r="CC11" s="18"/>
      <c r="CD11" s="18"/>
      <c r="CF11" s="19">
        <v>13.74947613873613</v>
      </c>
      <c r="CG11" s="19">
        <v>4.1291874744870913</v>
      </c>
      <c r="CH11" s="19"/>
      <c r="CI11" s="19">
        <f t="shared" si="8"/>
        <v>11.366575228725534</v>
      </c>
      <c r="CK11" s="22">
        <f t="shared" si="9"/>
        <v>27788.507492999976</v>
      </c>
      <c r="CL11" s="22">
        <f t="shared" si="10"/>
        <v>2358.0397509999998</v>
      </c>
      <c r="CM11" s="22"/>
      <c r="CN11" s="22"/>
      <c r="CO11" s="44"/>
      <c r="CP11" s="44"/>
      <c r="CQ11" s="22"/>
      <c r="CR11" s="44"/>
      <c r="CS11" s="44"/>
      <c r="CT11" s="22"/>
      <c r="CU11" s="44"/>
      <c r="CV11" s="44"/>
      <c r="CW11" s="44"/>
      <c r="CX11" s="44"/>
      <c r="CZ11" s="22">
        <f t="shared" si="11"/>
        <v>30146.547243999976</v>
      </c>
      <c r="DA11" s="44"/>
      <c r="DB11" s="44"/>
      <c r="DD11" s="86"/>
      <c r="DE11" s="86"/>
      <c r="DF11" s="86"/>
    </row>
    <row r="12" spans="1:110" x14ac:dyDescent="0.15">
      <c r="A12" s="12">
        <f t="shared" si="28"/>
        <v>2001</v>
      </c>
      <c r="B12" s="44">
        <v>221122.54956999997</v>
      </c>
      <c r="C12" s="44">
        <v>61786.542263000003</v>
      </c>
      <c r="D12" s="44">
        <v>6628</v>
      </c>
      <c r="E12" s="238"/>
      <c r="F12" s="238"/>
      <c r="G12" s="238"/>
      <c r="H12" s="89"/>
      <c r="I12" s="12"/>
      <c r="J12" s="14">
        <f t="shared" si="0"/>
        <v>12.306472349750035</v>
      </c>
      <c r="K12" s="14">
        <f t="shared" si="1"/>
        <v>11.031440856997408</v>
      </c>
      <c r="L12" s="14">
        <f t="shared" si="12"/>
        <v>8.7990583785464533</v>
      </c>
      <c r="M12" s="12"/>
      <c r="N12" s="44">
        <v>337835</v>
      </c>
      <c r="O12" s="44">
        <v>13813.3</v>
      </c>
      <c r="P12" s="44">
        <v>59409.4455062325</v>
      </c>
      <c r="Q12" s="44">
        <f t="shared" si="2"/>
        <v>24.457226006819514</v>
      </c>
      <c r="R12" s="44">
        <v>23045287.31944444</v>
      </c>
      <c r="S12" s="14"/>
      <c r="T12" s="14">
        <f t="shared" si="3"/>
        <v>12.730312889593025</v>
      </c>
      <c r="U12" s="14">
        <f t="shared" si="3"/>
        <v>9.5333871751349299</v>
      </c>
      <c r="V12" s="14">
        <f t="shared" si="3"/>
        <v>10.992208507965589</v>
      </c>
      <c r="W12" s="14">
        <f t="shared" si="3"/>
        <v>3.1969257144580947</v>
      </c>
      <c r="X12" s="14">
        <f t="shared" si="3"/>
        <v>16.952971851815345</v>
      </c>
      <c r="Y12" s="14"/>
      <c r="Z12" s="14"/>
      <c r="AA12" s="14"/>
      <c r="AB12" s="14"/>
      <c r="AC12" s="14"/>
      <c r="AD12" s="14">
        <f t="shared" si="4"/>
        <v>1.0625066756143386E-2</v>
      </c>
      <c r="AE12" s="14">
        <f t="shared" si="5"/>
        <v>2.3887225954698721E-2</v>
      </c>
      <c r="AF12" s="14">
        <f t="shared" si="13"/>
        <v>-1.846609111890718E-2</v>
      </c>
      <c r="AG12" s="14"/>
      <c r="AH12" s="14">
        <f t="shared" si="14"/>
        <v>3.9116760776694903E-2</v>
      </c>
      <c r="AI12" s="14">
        <f t="shared" si="15"/>
        <v>5.3655342177092891E-2</v>
      </c>
      <c r="AJ12" s="14">
        <f t="shared" si="16"/>
        <v>3.6397756520089697E-2</v>
      </c>
      <c r="AK12" s="14">
        <f t="shared" si="29"/>
        <v>8.4896441969398495E-2</v>
      </c>
      <c r="AL12" s="14"/>
      <c r="AM12" s="14">
        <f t="shared" si="17"/>
        <v>4.8384460206952563E-2</v>
      </c>
      <c r="AN12" s="14">
        <f t="shared" si="30"/>
        <v>1.8027890606375774E-2</v>
      </c>
      <c r="AO12" s="14">
        <f t="shared" si="18"/>
        <v>3.1919667739910021E-2</v>
      </c>
      <c r="AP12" s="14">
        <f t="shared" si="31"/>
        <v>8.509705226177218E-2</v>
      </c>
      <c r="AQ12" s="15">
        <f t="shared" si="32"/>
        <v>-1.1285442662098139E-3</v>
      </c>
      <c r="AR12" s="15">
        <f t="shared" si="19"/>
        <v>8.2752469296008347E-4</v>
      </c>
      <c r="AS12" s="15">
        <f t="shared" si="33"/>
        <v>9.2626347124773988E-3</v>
      </c>
      <c r="AT12" s="14">
        <f t="shared" si="20"/>
        <v>0</v>
      </c>
      <c r="AU12" s="14">
        <f t="shared" si="20"/>
        <v>0</v>
      </c>
      <c r="AV12" s="14">
        <f t="shared" si="20"/>
        <v>0</v>
      </c>
      <c r="AW12" s="14"/>
      <c r="AX12" s="15">
        <f t="shared" si="34"/>
        <v>7.9175583680652778E-2</v>
      </c>
      <c r="AY12" s="15">
        <f t="shared" si="21"/>
        <v>1.8855415299335859E-2</v>
      </c>
      <c r="AZ12" s="15">
        <f t="shared" si="35"/>
        <v>9.4359686974249582E-2</v>
      </c>
      <c r="BA12" s="16"/>
      <c r="BB12" s="15">
        <f t="shared" si="36"/>
        <v>1.0749489793867056E-2</v>
      </c>
      <c r="BC12" s="15">
        <f t="shared" si="22"/>
        <v>5.9909967029579972E-2</v>
      </c>
      <c r="BD12" s="15">
        <f t="shared" si="37"/>
        <v>3.7750350063394528E-3</v>
      </c>
      <c r="BE12" s="16"/>
      <c r="BF12" s="16">
        <f t="shared" si="23"/>
        <v>3.9891895147326606</v>
      </c>
      <c r="BG12" s="16">
        <f t="shared" si="24"/>
        <v>5.51208838127768</v>
      </c>
      <c r="BH12" s="16">
        <f t="shared" si="25"/>
        <v>3.7068265128618272</v>
      </c>
      <c r="BI12" s="16">
        <f t="shared" si="38"/>
        <v>8.8604327140734398</v>
      </c>
      <c r="BK12" s="17">
        <f t="shared" si="6"/>
        <v>12.306472349750035</v>
      </c>
      <c r="BL12" s="17">
        <f t="shared" si="7"/>
        <v>11.031440856997408</v>
      </c>
      <c r="BM12" s="17">
        <f t="shared" si="26"/>
        <v>8.7990583785464533</v>
      </c>
      <c r="BN12" s="18">
        <f t="shared" si="27"/>
        <v>221122.54957000003</v>
      </c>
      <c r="BO12" s="18">
        <f t="shared" si="27"/>
        <v>61786.542263000047</v>
      </c>
      <c r="BP12" s="18">
        <f t="shared" si="27"/>
        <v>6627.9999999999991</v>
      </c>
      <c r="BQ12" s="18">
        <f t="shared" si="39"/>
        <v>289537.09183300007</v>
      </c>
      <c r="BS12" s="14"/>
      <c r="BT12" s="14"/>
      <c r="BU12" s="14"/>
      <c r="BW12" s="18"/>
      <c r="BX12" s="18"/>
      <c r="BZ12" s="18"/>
      <c r="CA12" s="18"/>
      <c r="CC12" s="18"/>
      <c r="CD12" s="18"/>
      <c r="CF12" s="19">
        <v>14.283368861935832</v>
      </c>
      <c r="CG12" s="19">
        <v>4.5717601091452416</v>
      </c>
      <c r="CH12" s="19"/>
      <c r="CI12" s="19">
        <f t="shared" si="8"/>
        <v>11.883963352041345</v>
      </c>
      <c r="CK12" s="22">
        <f t="shared" si="9"/>
        <v>31583.749392000009</v>
      </c>
      <c r="CL12" s="22">
        <f t="shared" si="10"/>
        <v>2824.7324920000019</v>
      </c>
      <c r="CM12" s="22"/>
      <c r="CN12" s="22"/>
      <c r="CO12" s="44"/>
      <c r="CP12" s="44"/>
      <c r="CQ12" s="22"/>
      <c r="CR12" s="44"/>
      <c r="CS12" s="44"/>
      <c r="CT12" s="22"/>
      <c r="CU12" s="44"/>
      <c r="CV12" s="44"/>
      <c r="CW12" s="44"/>
      <c r="CX12" s="44"/>
      <c r="CZ12" s="22">
        <f t="shared" si="11"/>
        <v>34408.481884000008</v>
      </c>
      <c r="DA12" s="44"/>
      <c r="DB12" s="44"/>
      <c r="DD12" s="86"/>
      <c r="DE12" s="86"/>
      <c r="DF12" s="86"/>
    </row>
    <row r="13" spans="1:110" x14ac:dyDescent="0.15">
      <c r="A13" s="12">
        <f t="shared" si="28"/>
        <v>2002</v>
      </c>
      <c r="B13" s="44">
        <v>236206.343135</v>
      </c>
      <c r="C13" s="44">
        <v>64329.162538000004</v>
      </c>
      <c r="D13" s="44">
        <v>7634</v>
      </c>
      <c r="E13" s="238"/>
      <c r="F13" s="238"/>
      <c r="G13" s="238"/>
      <c r="H13" s="89"/>
      <c r="I13" s="12"/>
      <c r="J13" s="14">
        <f t="shared" si="0"/>
        <v>12.372461037317073</v>
      </c>
      <c r="K13" s="14">
        <f t="shared" si="1"/>
        <v>11.071768346101749</v>
      </c>
      <c r="L13" s="14">
        <f t="shared" si="12"/>
        <v>8.9403672333051745</v>
      </c>
      <c r="M13" s="12"/>
      <c r="N13" s="44">
        <v>360690</v>
      </c>
      <c r="O13" s="44">
        <v>14246.5</v>
      </c>
      <c r="P13" s="44">
        <v>64130.329999999994</v>
      </c>
      <c r="Q13" s="44">
        <f t="shared" si="2"/>
        <v>25.317797353736005</v>
      </c>
      <c r="R13" s="44">
        <v>25780622.597222216</v>
      </c>
      <c r="S13" s="14"/>
      <c r="T13" s="14">
        <f t="shared" si="3"/>
        <v>12.795774142637065</v>
      </c>
      <c r="U13" s="14">
        <f t="shared" si="3"/>
        <v>9.564266541493641</v>
      </c>
      <c r="V13" s="14">
        <f t="shared" si="3"/>
        <v>11.068672697927267</v>
      </c>
      <c r="W13" s="14">
        <f t="shared" si="3"/>
        <v>3.2315076011434227</v>
      </c>
      <c r="X13" s="14">
        <f t="shared" si="3"/>
        <v>17.065133705580216</v>
      </c>
      <c r="Y13" s="14"/>
      <c r="Z13" s="14"/>
      <c r="AA13" s="14"/>
      <c r="AB13" s="14"/>
      <c r="AC13" s="14"/>
      <c r="AD13" s="14">
        <f t="shared" si="4"/>
        <v>7.0939455197107648E-3</v>
      </c>
      <c r="AE13" s="14">
        <f t="shared" si="5"/>
        <v>-1.2356218911824257E-2</v>
      </c>
      <c r="AF13" s="14">
        <f t="shared" si="13"/>
        <v>1.4143009815101415E-2</v>
      </c>
      <c r="AG13" s="14"/>
      <c r="AH13" s="14">
        <f t="shared" si="14"/>
        <v>3.0879366358711025E-2</v>
      </c>
      <c r="AI13" s="14">
        <f t="shared" si="15"/>
        <v>7.6464189961678031E-2</v>
      </c>
      <c r="AJ13" s="14">
        <f t="shared" si="16"/>
        <v>3.4581886685328023E-2</v>
      </c>
      <c r="AK13" s="14">
        <f t="shared" si="29"/>
        <v>0.11216185376487076</v>
      </c>
      <c r="AL13" s="14"/>
      <c r="AM13" s="14">
        <f>+AH13*$AM$5</f>
        <v>3.8195429353882274E-2</v>
      </c>
      <c r="AN13" s="14">
        <f t="shared" si="30"/>
        <v>1.8996405621088851E-2</v>
      </c>
      <c r="AO13" s="14">
        <f t="shared" si="18"/>
        <v>3.0327208002658743E-2</v>
      </c>
      <c r="AP13" s="14">
        <f t="shared" si="31"/>
        <v>0.11242689222531713</v>
      </c>
      <c r="AQ13" s="15">
        <f t="shared" si="32"/>
        <v>-5.4189434216344694E-3</v>
      </c>
      <c r="AR13" s="15">
        <f t="shared" si="19"/>
        <v>-1.7220205641838487E-2</v>
      </c>
      <c r="AS13" s="15">
        <f t="shared" si="33"/>
        <v>4.9831116206193399E-3</v>
      </c>
      <c r="AT13" s="14">
        <f t="shared" si="20"/>
        <v>0</v>
      </c>
      <c r="AU13" s="14">
        <f t="shared" si="20"/>
        <v>0</v>
      </c>
      <c r="AV13" s="14">
        <f t="shared" si="20"/>
        <v>0</v>
      </c>
      <c r="AW13" s="14"/>
      <c r="AX13" s="15">
        <f t="shared" si="34"/>
        <v>6.3103693934906543E-2</v>
      </c>
      <c r="AY13" s="15">
        <f t="shared" si="21"/>
        <v>1.776199979250364E-3</v>
      </c>
      <c r="AZ13" s="15">
        <f t="shared" si="35"/>
        <v>0.11741000384593647</v>
      </c>
      <c r="BA13" s="16"/>
      <c r="BB13" s="15">
        <f t="shared" si="36"/>
        <v>2.8849936321322517E-3</v>
      </c>
      <c r="BC13" s="15">
        <f t="shared" si="22"/>
        <v>3.8551289125090218E-2</v>
      </c>
      <c r="BD13" s="15">
        <f t="shared" si="37"/>
        <v>2.3898850912784653E-2</v>
      </c>
      <c r="BE13" s="16"/>
      <c r="BF13" s="16">
        <f t="shared" si="23"/>
        <v>3.1361079539284686</v>
      </c>
      <c r="BG13" s="16">
        <f t="shared" si="24"/>
        <v>7.9463534014506898</v>
      </c>
      <c r="BH13" s="16">
        <f t="shared" si="25"/>
        <v>3.5186792920690824</v>
      </c>
      <c r="BI13" s="16">
        <f t="shared" si="38"/>
        <v>11.869391081402746</v>
      </c>
      <c r="BK13" s="17">
        <f t="shared" si="6"/>
        <v>12.372461037317073</v>
      </c>
      <c r="BL13" s="17">
        <f t="shared" si="7"/>
        <v>11.071768346101749</v>
      </c>
      <c r="BM13" s="17">
        <f t="shared" si="26"/>
        <v>8.9403672333051745</v>
      </c>
      <c r="BN13" s="18">
        <f t="shared" si="27"/>
        <v>236206.34313500021</v>
      </c>
      <c r="BO13" s="18">
        <f t="shared" si="27"/>
        <v>64329.162538000055</v>
      </c>
      <c r="BP13" s="18">
        <f t="shared" si="27"/>
        <v>7633.9999999999955</v>
      </c>
      <c r="BQ13" s="18">
        <f t="shared" si="39"/>
        <v>308169.50567300024</v>
      </c>
      <c r="BS13" s="14"/>
      <c r="BT13" s="14"/>
      <c r="BU13" s="14"/>
      <c r="BW13" s="18"/>
      <c r="BX13" s="18"/>
      <c r="BZ13" s="18"/>
      <c r="CA13" s="18"/>
      <c r="CC13" s="18"/>
      <c r="CD13" s="18"/>
      <c r="CF13" s="19">
        <v>14.669649356196999</v>
      </c>
      <c r="CG13" s="19">
        <v>4.7767518987750446</v>
      </c>
      <c r="CH13" s="19"/>
      <c r="CI13" s="19">
        <f t="shared" si="8"/>
        <v>12.241148489243642</v>
      </c>
      <c r="CK13" s="22">
        <f t="shared" si="9"/>
        <v>34650.642295000034</v>
      </c>
      <c r="CL13" s="22">
        <f t="shared" si="10"/>
        <v>3072.8444930000023</v>
      </c>
      <c r="CM13" s="22"/>
      <c r="CN13" s="22"/>
      <c r="CO13" s="44"/>
      <c r="CP13" s="44"/>
      <c r="CQ13" s="22"/>
      <c r="CR13" s="44"/>
      <c r="CS13" s="44"/>
      <c r="CT13" s="22"/>
      <c r="CU13" s="44"/>
      <c r="CV13" s="44"/>
      <c r="CW13" s="44"/>
      <c r="CX13" s="44"/>
      <c r="CZ13" s="22">
        <f t="shared" si="11"/>
        <v>37723.486788000038</v>
      </c>
      <c r="DA13" s="44"/>
      <c r="DB13" s="44"/>
      <c r="DD13" s="86"/>
      <c r="DE13" s="86"/>
      <c r="DF13" s="86"/>
    </row>
    <row r="14" spans="1:110" x14ac:dyDescent="0.15">
      <c r="A14" s="12">
        <f t="shared" si="28"/>
        <v>2003</v>
      </c>
      <c r="B14" s="44">
        <v>254387.845133</v>
      </c>
      <c r="C14" s="44">
        <v>68698.512585999997</v>
      </c>
      <c r="D14" s="44">
        <v>8141</v>
      </c>
      <c r="E14" s="102">
        <v>1317</v>
      </c>
      <c r="F14" s="102">
        <v>34</v>
      </c>
      <c r="G14" s="102">
        <v>9886</v>
      </c>
      <c r="H14" s="90">
        <f>+B14+C14+D14+E14+F14+G14</f>
        <v>342464.35771899996</v>
      </c>
      <c r="I14" s="12"/>
      <c r="J14" s="14">
        <f t="shared" si="0"/>
        <v>12.446615330741421</v>
      </c>
      <c r="K14" s="14">
        <f t="shared" si="1"/>
        <v>11.137482827117251</v>
      </c>
      <c r="L14" s="14">
        <f t="shared" si="12"/>
        <v>9.004668301573977</v>
      </c>
      <c r="M14" s="12"/>
      <c r="N14" s="44">
        <v>386223</v>
      </c>
      <c r="O14" s="44">
        <v>14744.5</v>
      </c>
      <c r="P14" s="44">
        <v>67617.159999999989</v>
      </c>
      <c r="Q14" s="44">
        <f t="shared" si="2"/>
        <v>26.194377564515584</v>
      </c>
      <c r="R14" s="44">
        <v>26568201.665833339</v>
      </c>
      <c r="S14" s="14"/>
      <c r="T14" s="14">
        <f t="shared" si="3"/>
        <v>12.864170201838148</v>
      </c>
      <c r="U14" s="14">
        <f t="shared" si="3"/>
        <v>9.5986254108744937</v>
      </c>
      <c r="V14" s="14">
        <f t="shared" si="3"/>
        <v>11.121617075971418</v>
      </c>
      <c r="W14" s="14">
        <f t="shared" si="3"/>
        <v>3.2655447909636544</v>
      </c>
      <c r="X14" s="14">
        <f t="shared" si="3"/>
        <v>17.095225632563711</v>
      </c>
      <c r="Y14" s="14"/>
      <c r="Z14" s="14"/>
      <c r="AA14" s="14"/>
      <c r="AB14" s="14"/>
      <c r="AC14" s="14"/>
      <c r="AD14" s="14">
        <f t="shared" si="4"/>
        <v>7.8225579860600192E-3</v>
      </c>
      <c r="AE14" s="14">
        <f t="shared" si="5"/>
        <v>3.3997370777782976E-4</v>
      </c>
      <c r="AF14" s="14">
        <f t="shared" si="13"/>
        <v>4.9280998610611526E-2</v>
      </c>
      <c r="AG14" s="14"/>
      <c r="AH14" s="14">
        <f t="shared" si="14"/>
        <v>3.4358869380852752E-2</v>
      </c>
      <c r="AI14" s="14">
        <f t="shared" si="15"/>
        <v>5.2944378044150753E-2</v>
      </c>
      <c r="AJ14" s="14">
        <f t="shared" si="16"/>
        <v>3.4037189820231628E-2</v>
      </c>
      <c r="AK14" s="14">
        <f t="shared" si="29"/>
        <v>3.0091926983494943E-2</v>
      </c>
      <c r="AL14" s="14"/>
      <c r="AM14" s="14">
        <f t="shared" si="17"/>
        <v>4.2499310150041908E-2</v>
      </c>
      <c r="AN14" s="14">
        <f t="shared" si="30"/>
        <v>2.7071764134982298E-2</v>
      </c>
      <c r="AO14" s="14">
        <f t="shared" si="18"/>
        <v>2.984952628226889E-2</v>
      </c>
      <c r="AP14" s="14">
        <f t="shared" si="31"/>
        <v>3.0163034206956939E-2</v>
      </c>
      <c r="AQ14" s="15">
        <f t="shared" si="32"/>
        <v>-3.6180186242352856E-3</v>
      </c>
      <c r="AR14" s="15">
        <f t="shared" si="19"/>
        <v>8.9075487886584592E-3</v>
      </c>
      <c r="AS14" s="15">
        <f t="shared" si="33"/>
        <v>-3.8165194846247466E-3</v>
      </c>
      <c r="AT14" s="14">
        <f t="shared" si="20"/>
        <v>0</v>
      </c>
      <c r="AU14" s="14">
        <f t="shared" si="20"/>
        <v>0</v>
      </c>
      <c r="AV14" s="14">
        <f t="shared" si="20"/>
        <v>0</v>
      </c>
      <c r="AW14" s="14"/>
      <c r="AX14" s="15">
        <f t="shared" si="34"/>
        <v>6.8730817808075509E-2</v>
      </c>
      <c r="AY14" s="15">
        <f t="shared" si="21"/>
        <v>3.5979312923640761E-2</v>
      </c>
      <c r="AZ14" s="15">
        <f t="shared" si="35"/>
        <v>2.6346514722332192E-2</v>
      </c>
      <c r="BA14" s="16"/>
      <c r="BB14" s="15">
        <f t="shared" si="36"/>
        <v>5.4234756162724745E-3</v>
      </c>
      <c r="BC14" s="15">
        <f t="shared" si="22"/>
        <v>2.9735168091862052E-2</v>
      </c>
      <c r="BD14" s="15">
        <f t="shared" si="37"/>
        <v>3.7954553546470357E-2</v>
      </c>
      <c r="BE14" s="16"/>
      <c r="BF14" s="16">
        <f t="shared" si="23"/>
        <v>3.4955954093988106</v>
      </c>
      <c r="BG14" s="16">
        <f t="shared" si="24"/>
        <v>5.4370997311256497</v>
      </c>
      <c r="BH14" s="16">
        <f t="shared" si="25"/>
        <v>3.462308345912346</v>
      </c>
      <c r="BI14" s="16">
        <f t="shared" si="38"/>
        <v>3.0549264884548677</v>
      </c>
      <c r="BK14" s="17">
        <f t="shared" si="6"/>
        <v>12.446615330741421</v>
      </c>
      <c r="BL14" s="17">
        <f t="shared" si="7"/>
        <v>11.137482827117251</v>
      </c>
      <c r="BM14" s="17">
        <f t="shared" si="26"/>
        <v>9.004668301573977</v>
      </c>
      <c r="BN14" s="18">
        <f t="shared" si="27"/>
        <v>254387.8451330002</v>
      </c>
      <c r="BO14" s="18">
        <f t="shared" si="27"/>
        <v>68698.512586000026</v>
      </c>
      <c r="BP14" s="18">
        <f t="shared" si="27"/>
        <v>8140.9999999999945</v>
      </c>
      <c r="BQ14" s="18">
        <f t="shared" si="39"/>
        <v>331227.3577190002</v>
      </c>
      <c r="BS14" s="14"/>
      <c r="BT14" s="14"/>
      <c r="BU14" s="14"/>
      <c r="BW14" s="18"/>
      <c r="BX14" s="18"/>
      <c r="BZ14" s="18"/>
      <c r="CA14" s="18"/>
      <c r="CC14" s="18"/>
      <c r="CD14" s="18"/>
      <c r="CF14" s="19">
        <v>14.005211656387539</v>
      </c>
      <c r="CG14" s="19">
        <v>4.51854799783918</v>
      </c>
      <c r="CH14" s="19">
        <v>0.41</v>
      </c>
      <c r="CI14" s="19">
        <f t="shared" si="8"/>
        <v>11.703474547198118</v>
      </c>
      <c r="CK14" s="22">
        <f t="shared" si="9"/>
        <v>35627.556139000022</v>
      </c>
      <c r="CL14" s="22">
        <f t="shared" si="10"/>
        <v>3104.1752650000017</v>
      </c>
      <c r="CM14" s="22">
        <f t="shared" ref="CM14:CM29" si="40">+CH14*BP14/100</f>
        <v>33.378099999999975</v>
      </c>
      <c r="CN14" s="22"/>
      <c r="CO14" s="44"/>
      <c r="CP14" s="44"/>
      <c r="CQ14" s="22"/>
      <c r="CR14" s="44"/>
      <c r="CS14" s="44"/>
      <c r="CT14" s="22"/>
      <c r="CU14" s="44"/>
      <c r="CV14" s="44"/>
      <c r="CW14" s="103">
        <v>392</v>
      </c>
      <c r="CX14" s="103">
        <v>5</v>
      </c>
      <c r="CZ14" s="22">
        <f t="shared" si="11"/>
        <v>39162.109504000022</v>
      </c>
      <c r="DA14" s="44"/>
      <c r="DB14" s="44"/>
      <c r="DD14" s="86">
        <f t="shared" ref="DD14:DD29" si="41">+(SUM(B14:D14)-SUM(B13:D13))/SUM(B13:D13)*100</f>
        <v>7.4821978234493924</v>
      </c>
      <c r="DE14" s="86"/>
      <c r="DF14" s="86"/>
    </row>
    <row r="15" spans="1:110" x14ac:dyDescent="0.15">
      <c r="A15" s="12">
        <f t="shared" si="28"/>
        <v>2004</v>
      </c>
      <c r="B15" s="44">
        <v>271207.02665399999</v>
      </c>
      <c r="C15" s="44">
        <v>72505.671684000001</v>
      </c>
      <c r="D15" s="44">
        <v>8744</v>
      </c>
      <c r="E15" s="102">
        <v>1442</v>
      </c>
      <c r="F15" s="102">
        <v>39</v>
      </c>
      <c r="G15" s="102">
        <v>11050</v>
      </c>
      <c r="H15" s="90">
        <f>+B15+C15+D15+E15+F15+G15</f>
        <v>364987.69833799999</v>
      </c>
      <c r="I15" s="12"/>
      <c r="J15" s="14">
        <f t="shared" si="0"/>
        <v>12.510637744203883</v>
      </c>
      <c r="K15" s="14">
        <f t="shared" si="1"/>
        <v>11.191420067907087</v>
      </c>
      <c r="L15" s="14">
        <f t="shared" si="12"/>
        <v>9.0761230298563742</v>
      </c>
      <c r="M15" s="12"/>
      <c r="N15" s="44">
        <v>411320</v>
      </c>
      <c r="O15" s="44">
        <v>15202.5</v>
      </c>
      <c r="P15" s="44">
        <v>72077.55</v>
      </c>
      <c r="Q15" s="44">
        <f t="shared" si="2"/>
        <v>27.0560763032396</v>
      </c>
      <c r="R15" s="44">
        <v>28656266.241666663</v>
      </c>
      <c r="S15" s="14"/>
      <c r="T15" s="14">
        <f t="shared" si="3"/>
        <v>12.927126779343126</v>
      </c>
      <c r="U15" s="14">
        <f t="shared" si="3"/>
        <v>9.6292151669942641</v>
      </c>
      <c r="V15" s="14">
        <f t="shared" si="3"/>
        <v>11.185497901693447</v>
      </c>
      <c r="W15" s="14">
        <f t="shared" si="3"/>
        <v>3.2979116123488623</v>
      </c>
      <c r="X15" s="14">
        <f t="shared" si="3"/>
        <v>17.170882694196571</v>
      </c>
      <c r="Y15" s="14"/>
      <c r="Z15" s="14"/>
      <c r="AA15" s="14"/>
      <c r="AB15" s="14"/>
      <c r="AC15" s="14"/>
      <c r="AD15" s="14">
        <f t="shared" si="4"/>
        <v>4.6491978932143851E-3</v>
      </c>
      <c r="AE15" s="14">
        <f t="shared" si="5"/>
        <v>-9.6927888571229914E-3</v>
      </c>
      <c r="AF15" s="14">
        <f t="shared" si="13"/>
        <v>4.7413971781568698E-2</v>
      </c>
      <c r="AG15" s="14"/>
      <c r="AH15" s="14">
        <f t="shared" si="14"/>
        <v>3.0589756119770328E-2</v>
      </c>
      <c r="AI15" s="14">
        <f t="shared" si="15"/>
        <v>6.3880825722028689E-2</v>
      </c>
      <c r="AJ15" s="14">
        <f t="shared" si="16"/>
        <v>3.2366821385207967E-2</v>
      </c>
      <c r="AK15" s="14">
        <f t="shared" si="29"/>
        <v>7.5657061632860234E-2</v>
      </c>
      <c r="AL15" s="14"/>
      <c r="AM15" s="14">
        <f t="shared" si="17"/>
        <v>3.783720349869079E-2</v>
      </c>
      <c r="AN15" s="14">
        <f t="shared" si="30"/>
        <v>1.8744692324641352E-2</v>
      </c>
      <c r="AO15" s="14">
        <f t="shared" si="18"/>
        <v>2.8384666616543059E-2</v>
      </c>
      <c r="AP15" s="14">
        <f t="shared" si="31"/>
        <v>7.5835839269498675E-2</v>
      </c>
      <c r="AQ15" s="15">
        <f t="shared" si="32"/>
        <v>-3.989621911260401E-3</v>
      </c>
      <c r="AR15" s="15">
        <f t="shared" si="19"/>
        <v>-2.4508568604220636E-4</v>
      </c>
      <c r="AS15" s="15">
        <f t="shared" si="33"/>
        <v>-1.329857603707074E-2</v>
      </c>
      <c r="AT15" s="14">
        <f t="shared" si="20"/>
        <v>0</v>
      </c>
      <c r="AU15" s="14">
        <f t="shared" si="20"/>
        <v>0</v>
      </c>
      <c r="AV15" s="14">
        <f t="shared" si="20"/>
        <v>0</v>
      </c>
      <c r="AW15" s="14"/>
      <c r="AX15" s="15">
        <f t="shared" si="34"/>
        <v>6.2232248203973453E-2</v>
      </c>
      <c r="AY15" s="15">
        <f t="shared" si="21"/>
        <v>1.8499606638599148E-2</v>
      </c>
      <c r="AZ15" s="15">
        <f t="shared" si="35"/>
        <v>6.2537263232427934E-2</v>
      </c>
      <c r="BA15" s="16"/>
      <c r="BB15" s="15">
        <f t="shared" si="36"/>
        <v>1.7901652584886157E-3</v>
      </c>
      <c r="BC15" s="15">
        <f t="shared" si="22"/>
        <v>3.543763415123638E-2</v>
      </c>
      <c r="BD15" s="15">
        <f t="shared" si="37"/>
        <v>8.9174650499692504E-3</v>
      </c>
      <c r="BE15" s="16"/>
      <c r="BF15" s="16">
        <f t="shared" si="23"/>
        <v>3.1062430058665935</v>
      </c>
      <c r="BG15" s="16">
        <f t="shared" si="24"/>
        <v>6.596535553992533</v>
      </c>
      <c r="BH15" s="16">
        <f t="shared" si="25"/>
        <v>3.2896324281868949</v>
      </c>
      <c r="BI15" s="16">
        <f t="shared" si="38"/>
        <v>7.8592619933270491</v>
      </c>
      <c r="BK15" s="17">
        <f t="shared" si="6"/>
        <v>12.510637744203883</v>
      </c>
      <c r="BL15" s="17">
        <f t="shared" si="7"/>
        <v>11.191420067907087</v>
      </c>
      <c r="BM15" s="17">
        <f t="shared" si="26"/>
        <v>9.0761230298563742</v>
      </c>
      <c r="BN15" s="18">
        <f t="shared" si="27"/>
        <v>271207.0266540001</v>
      </c>
      <c r="BO15" s="18">
        <f t="shared" si="27"/>
        <v>72505.671683999957</v>
      </c>
      <c r="BP15" s="18">
        <f t="shared" si="27"/>
        <v>8743.9999999999982</v>
      </c>
      <c r="BQ15" s="18">
        <f t="shared" si="39"/>
        <v>352456.69833800005</v>
      </c>
      <c r="BS15" s="14"/>
      <c r="BT15" s="14"/>
      <c r="BU15" s="14"/>
      <c r="BW15" s="18"/>
      <c r="BX15" s="18"/>
      <c r="BZ15" s="18"/>
      <c r="CA15" s="18"/>
      <c r="CC15" s="18"/>
      <c r="CD15" s="18"/>
      <c r="CF15" s="19">
        <v>14.369648703357155</v>
      </c>
      <c r="CG15" s="19">
        <v>4.7574649967158287</v>
      </c>
      <c r="CH15" s="19">
        <v>0.4</v>
      </c>
      <c r="CI15" s="19">
        <f t="shared" si="8"/>
        <v>12.045708065756642</v>
      </c>
      <c r="CK15" s="22">
        <f t="shared" si="9"/>
        <v>38971.496989000021</v>
      </c>
      <c r="CL15" s="22">
        <f t="shared" si="10"/>
        <v>3449.4319509999982</v>
      </c>
      <c r="CM15" s="22">
        <f t="shared" si="40"/>
        <v>34.975999999999992</v>
      </c>
      <c r="CN15" s="22"/>
      <c r="CO15" s="44"/>
      <c r="CP15" s="44"/>
      <c r="CQ15" s="22"/>
      <c r="CR15" s="44"/>
      <c r="CS15" s="44"/>
      <c r="CT15" s="22"/>
      <c r="CU15" s="44"/>
      <c r="CV15" s="44"/>
      <c r="CW15" s="103">
        <v>434</v>
      </c>
      <c r="CX15" s="103">
        <v>5</v>
      </c>
      <c r="CZ15" s="22">
        <f t="shared" si="11"/>
        <v>42894.904940000022</v>
      </c>
      <c r="DA15" s="44"/>
      <c r="DB15" s="44"/>
      <c r="DD15" s="86">
        <f t="shared" si="41"/>
        <v>6.4092956467110866</v>
      </c>
      <c r="DE15" s="86">
        <f t="shared" ref="DE15:DE29" si="42">+(CI15-CI14)/CI14*100</f>
        <v>2.924204407659921</v>
      </c>
      <c r="DF15" s="86">
        <f t="shared" ref="DF15:DF29" si="43">+(SUM(CK15:CM15)-SUM(CK14:CM14))/SUM(CK14:CM14)*100</f>
        <v>9.5209209601720879</v>
      </c>
    </row>
    <row r="16" spans="1:110" x14ac:dyDescent="0.15">
      <c r="A16" s="12">
        <f t="shared" si="28"/>
        <v>2005</v>
      </c>
      <c r="B16" s="44">
        <v>294079.44647299999</v>
      </c>
      <c r="C16" s="44">
        <v>78315.736535999997</v>
      </c>
      <c r="D16" s="44">
        <v>9278</v>
      </c>
      <c r="E16" s="102">
        <v>1559</v>
      </c>
      <c r="F16" s="102">
        <v>55</v>
      </c>
      <c r="G16" s="102">
        <v>11942</v>
      </c>
      <c r="H16" s="90">
        <f t="shared" ref="H16:H19" si="44">+B16+C16+D16+E16+F16+G16</f>
        <v>395229.18300899997</v>
      </c>
      <c r="I16" s="12"/>
      <c r="J16" s="14">
        <f t="shared" si="0"/>
        <v>12.591605235914962</v>
      </c>
      <c r="K16" s="14">
        <f t="shared" si="1"/>
        <v>11.268503839256892</v>
      </c>
      <c r="L16" s="14">
        <f t="shared" si="12"/>
        <v>9.1354012853116888</v>
      </c>
      <c r="M16" s="12"/>
      <c r="N16" s="44">
        <v>444044</v>
      </c>
      <c r="O16" s="44">
        <v>15831.9</v>
      </c>
      <c r="P16" s="44">
        <v>77028.710000000006</v>
      </c>
      <c r="Q16" s="44">
        <f t="shared" si="2"/>
        <v>28.047423240419661</v>
      </c>
      <c r="R16" s="44">
        <v>30359503.626666669</v>
      </c>
      <c r="S16" s="14"/>
      <c r="T16" s="14">
        <f t="shared" si="3"/>
        <v>13.003678935603469</v>
      </c>
      <c r="U16" s="14">
        <f t="shared" si="3"/>
        <v>9.6697821709410796</v>
      </c>
      <c r="V16" s="14">
        <f t="shared" si="3"/>
        <v>11.251933488484728</v>
      </c>
      <c r="W16" s="14">
        <f t="shared" si="3"/>
        <v>3.3338967646623905</v>
      </c>
      <c r="X16" s="14">
        <f t="shared" si="3"/>
        <v>17.228620160775264</v>
      </c>
      <c r="Y16" s="14"/>
      <c r="Z16" s="14"/>
      <c r="AA16" s="14"/>
      <c r="AB16" s="14"/>
      <c r="AC16" s="14"/>
      <c r="AD16" s="14">
        <f t="shared" si="4"/>
        <v>2.6400745943417903E-3</v>
      </c>
      <c r="AE16" s="14">
        <f t="shared" si="5"/>
        <v>8.6265162224030689E-4</v>
      </c>
      <c r="AF16" s="14">
        <f t="shared" si="13"/>
        <v>5.0736943039075832E-2</v>
      </c>
      <c r="AG16" s="14"/>
      <c r="AH16" s="14">
        <f t="shared" si="14"/>
        <v>4.0567003946815561E-2</v>
      </c>
      <c r="AI16" s="14">
        <f t="shared" si="15"/>
        <v>6.6435586791280699E-2</v>
      </c>
      <c r="AJ16" s="14">
        <f t="shared" si="16"/>
        <v>3.5985152313528168E-2</v>
      </c>
      <c r="AK16" s="14">
        <f t="shared" si="29"/>
        <v>5.7737466578693386E-2</v>
      </c>
      <c r="AL16" s="14"/>
      <c r="AM16" s="14">
        <f t="shared" si="17"/>
        <v>5.0178300789910889E-2</v>
      </c>
      <c r="AN16" s="14">
        <f t="shared" si="30"/>
        <v>2.2616686942755648E-2</v>
      </c>
      <c r="AO16" s="14">
        <f t="shared" si="18"/>
        <v>3.1557827054090166E-2</v>
      </c>
      <c r="AP16" s="14">
        <f t="shared" si="31"/>
        <v>5.7873900212218832E-2</v>
      </c>
      <c r="AQ16" s="15">
        <f t="shared" si="32"/>
        <v>-2.3711606635077346E-3</v>
      </c>
      <c r="AR16" s="15">
        <f t="shared" si="19"/>
        <v>6.987492715944536E-3</v>
      </c>
      <c r="AS16" s="15">
        <f t="shared" si="33"/>
        <v>-1.2794755113199874E-2</v>
      </c>
      <c r="AT16" s="14">
        <f t="shared" si="20"/>
        <v>0</v>
      </c>
      <c r="AU16" s="14">
        <f t="shared" si="20"/>
        <v>0</v>
      </c>
      <c r="AV16" s="14">
        <f t="shared" si="20"/>
        <v>0</v>
      </c>
      <c r="AW16" s="14"/>
      <c r="AX16" s="15">
        <f t="shared" si="34"/>
        <v>7.9364967180493323E-2</v>
      </c>
      <c r="AY16" s="15">
        <f t="shared" si="21"/>
        <v>2.9604179658700186E-2</v>
      </c>
      <c r="AZ16" s="15">
        <f t="shared" si="35"/>
        <v>4.5079145099018961E-2</v>
      </c>
      <c r="BA16" s="16"/>
      <c r="BB16" s="15">
        <f t="shared" si="36"/>
        <v>1.6025245305849867E-3</v>
      </c>
      <c r="BC16" s="15">
        <f t="shared" si="22"/>
        <v>4.7479591691105189E-2</v>
      </c>
      <c r="BD16" s="15">
        <f t="shared" si="37"/>
        <v>1.4199110356295661E-2</v>
      </c>
      <c r="BE16" s="16"/>
      <c r="BF16" s="16">
        <f t="shared" si="23"/>
        <v>4.1401085347804623</v>
      </c>
      <c r="BG16" s="16">
        <f t="shared" si="24"/>
        <v>6.8692123969252616</v>
      </c>
      <c r="BH16" s="16">
        <f t="shared" si="25"/>
        <v>3.6640454664202737</v>
      </c>
      <c r="BI16" s="16">
        <f t="shared" si="38"/>
        <v>5.9436821623449099</v>
      </c>
      <c r="BK16" s="17">
        <f t="shared" si="6"/>
        <v>12.591605235914962</v>
      </c>
      <c r="BL16" s="17">
        <f t="shared" si="7"/>
        <v>11.268503839256892</v>
      </c>
      <c r="BM16" s="17">
        <f t="shared" si="26"/>
        <v>9.1354012853116888</v>
      </c>
      <c r="BN16" s="18">
        <f t="shared" si="27"/>
        <v>294079.44647299987</v>
      </c>
      <c r="BO16" s="18">
        <f t="shared" si="27"/>
        <v>78315.736535999997</v>
      </c>
      <c r="BP16" s="18">
        <f t="shared" si="27"/>
        <v>9277.9999999999982</v>
      </c>
      <c r="BQ16" s="18">
        <f t="shared" si="39"/>
        <v>381673.18300899985</v>
      </c>
      <c r="BS16" s="14"/>
      <c r="BT16" s="14"/>
      <c r="BU16" s="14"/>
      <c r="BW16" s="18"/>
      <c r="BX16" s="18"/>
      <c r="BZ16" s="18"/>
      <c r="CA16" s="18"/>
      <c r="CC16" s="18"/>
      <c r="CD16" s="18"/>
      <c r="CF16" s="19">
        <v>14.686448949081976</v>
      </c>
      <c r="CG16" s="19">
        <v>5.1568219793777255</v>
      </c>
      <c r="CH16" s="19">
        <v>0.45</v>
      </c>
      <c r="CI16" s="19">
        <f t="shared" si="8"/>
        <v>12.384989041759669</v>
      </c>
      <c r="CK16" s="22">
        <f t="shared" si="9"/>
        <v>43189.827775999976</v>
      </c>
      <c r="CL16" s="22">
        <f t="shared" si="10"/>
        <v>4038.6031149999994</v>
      </c>
      <c r="CM16" s="22">
        <f t="shared" si="40"/>
        <v>41.750999999999998</v>
      </c>
      <c r="CN16" s="22"/>
      <c r="CO16" s="44"/>
      <c r="CP16" s="44"/>
      <c r="CQ16" s="22"/>
      <c r="CR16" s="44"/>
      <c r="CS16" s="44"/>
      <c r="CT16" s="22"/>
      <c r="CU16" s="44"/>
      <c r="CV16" s="44"/>
      <c r="CW16" s="103">
        <v>473</v>
      </c>
      <c r="CX16" s="103">
        <v>6</v>
      </c>
      <c r="CZ16" s="22">
        <f t="shared" si="11"/>
        <v>47749.181890999971</v>
      </c>
      <c r="DA16" s="44"/>
      <c r="DB16" s="44"/>
      <c r="DD16" s="86">
        <f t="shared" si="41"/>
        <v>8.2893827266638791</v>
      </c>
      <c r="DE16" s="86">
        <f t="shared" si="42"/>
        <v>2.8166129724455908</v>
      </c>
      <c r="DF16" s="86">
        <f t="shared" si="43"/>
        <v>11.339475528324344</v>
      </c>
    </row>
    <row r="17" spans="1:110" x14ac:dyDescent="0.15">
      <c r="A17" s="12">
        <f t="shared" si="28"/>
        <v>2006</v>
      </c>
      <c r="B17" s="44">
        <v>321315.74400000001</v>
      </c>
      <c r="C17" s="44">
        <v>84403.29300000002</v>
      </c>
      <c r="D17" s="44">
        <v>10070</v>
      </c>
      <c r="E17" s="102">
        <v>1653</v>
      </c>
      <c r="F17" s="102">
        <v>49</v>
      </c>
      <c r="G17" s="102">
        <v>12937</v>
      </c>
      <c r="H17" s="90">
        <f t="shared" si="44"/>
        <v>430428.03700000001</v>
      </c>
      <c r="I17" s="12"/>
      <c r="J17" s="14">
        <f t="shared" si="0"/>
        <v>12.68017954483715</v>
      </c>
      <c r="K17" s="14">
        <f t="shared" si="1"/>
        <v>11.343361696410598</v>
      </c>
      <c r="L17" s="14">
        <f t="shared" si="12"/>
        <v>9.2173159857126077</v>
      </c>
      <c r="M17" s="12"/>
      <c r="N17" s="44">
        <v>481152</v>
      </c>
      <c r="O17" s="44">
        <v>16505.5</v>
      </c>
      <c r="P17" s="44">
        <v>83253.73</v>
      </c>
      <c r="Q17" s="44">
        <f t="shared" si="2"/>
        <v>29.151010269304173</v>
      </c>
      <c r="R17" s="44">
        <v>32090017.830000002</v>
      </c>
      <c r="S17" s="14"/>
      <c r="T17" s="14">
        <f t="shared" si="3"/>
        <v>13.083938507483795</v>
      </c>
      <c r="U17" s="14">
        <f t="shared" si="3"/>
        <v>9.7114489376787922</v>
      </c>
      <c r="V17" s="14">
        <f t="shared" si="3"/>
        <v>11.329648211643789</v>
      </c>
      <c r="W17" s="14">
        <f t="shared" si="3"/>
        <v>3.372489569805003</v>
      </c>
      <c r="X17" s="14">
        <f t="shared" si="3"/>
        <v>17.284055568710691</v>
      </c>
      <c r="Y17" s="14"/>
      <c r="Z17" s="14"/>
      <c r="AA17" s="14"/>
      <c r="AB17" s="14"/>
      <c r="AC17" s="14"/>
      <c r="AD17" s="14">
        <f t="shared" si="4"/>
        <v>4.5449758100519766E-3</v>
      </c>
      <c r="AE17" s="14">
        <f t="shared" si="5"/>
        <v>-2.1027041366448174E-3</v>
      </c>
      <c r="AF17" s="14">
        <f t="shared" si="13"/>
        <v>7.8927360241308087E-2</v>
      </c>
      <c r="AG17" s="14"/>
      <c r="AH17" s="14">
        <f t="shared" si="14"/>
        <v>4.1666766737712635E-2</v>
      </c>
      <c r="AI17" s="14">
        <f t="shared" si="15"/>
        <v>7.7714723159061805E-2</v>
      </c>
      <c r="AJ17" s="14">
        <f t="shared" si="16"/>
        <v>3.8592805142612541E-2</v>
      </c>
      <c r="AK17" s="14">
        <f t="shared" si="29"/>
        <v>5.5435407935426895E-2</v>
      </c>
      <c r="AL17" s="14"/>
      <c r="AM17" s="14">
        <f t="shared" si="17"/>
        <v>5.1538623780278459E-2</v>
      </c>
      <c r="AN17" s="14">
        <f t="shared" si="30"/>
        <v>2.3521187325518975E-2</v>
      </c>
      <c r="AO17" s="14">
        <f t="shared" si="18"/>
        <v>3.3844655140306636E-2</v>
      </c>
      <c r="AP17" s="14">
        <f t="shared" si="31"/>
        <v>5.5566401804378301E-2</v>
      </c>
      <c r="AQ17" s="15">
        <f t="shared" si="32"/>
        <v>-1.3464776442332282E-3</v>
      </c>
      <c r="AR17" s="15">
        <f t="shared" si="19"/>
        <v>-6.2188210386654821E-4</v>
      </c>
      <c r="AS17" s="15">
        <f t="shared" si="33"/>
        <v>-1.3691465552980691E-2</v>
      </c>
      <c r="AT17" s="14">
        <f t="shared" si="20"/>
        <v>0</v>
      </c>
      <c r="AU17" s="14">
        <f t="shared" si="20"/>
        <v>0</v>
      </c>
      <c r="AV17" s="14">
        <f t="shared" si="20"/>
        <v>0</v>
      </c>
      <c r="AW17" s="14"/>
      <c r="AX17" s="15">
        <f t="shared" si="34"/>
        <v>8.4036801276351852E-2</v>
      </c>
      <c r="AY17" s="15">
        <f t="shared" si="21"/>
        <v>2.2899305221652427E-2</v>
      </c>
      <c r="AZ17" s="15">
        <f t="shared" si="35"/>
        <v>4.1874936251397613E-2</v>
      </c>
      <c r="BA17" s="16"/>
      <c r="BB17" s="15">
        <f t="shared" si="36"/>
        <v>4.5375076458367969E-3</v>
      </c>
      <c r="BC17" s="15">
        <f t="shared" si="22"/>
        <v>5.1958551932053537E-2</v>
      </c>
      <c r="BD17" s="15">
        <f t="shared" si="37"/>
        <v>4.0039764149521248E-2</v>
      </c>
      <c r="BE17" s="16"/>
      <c r="BF17" s="16">
        <f t="shared" si="23"/>
        <v>4.2547009518756562</v>
      </c>
      <c r="BG17" s="16">
        <f t="shared" si="24"/>
        <v>8.0814283401604357</v>
      </c>
      <c r="BH17" s="16">
        <f t="shared" si="25"/>
        <v>3.9347180645604274</v>
      </c>
      <c r="BI17" s="16">
        <f t="shared" si="38"/>
        <v>5.7000741007284139</v>
      </c>
      <c r="BK17" s="17">
        <f t="shared" si="6"/>
        <v>12.68017954483715</v>
      </c>
      <c r="BL17" s="17">
        <f t="shared" si="7"/>
        <v>11.343361696410598</v>
      </c>
      <c r="BM17" s="17">
        <f t="shared" si="26"/>
        <v>9.2173159857126077</v>
      </c>
      <c r="BN17" s="18">
        <f t="shared" si="27"/>
        <v>321315.74400000006</v>
      </c>
      <c r="BO17" s="18">
        <f t="shared" si="27"/>
        <v>84403.292999999947</v>
      </c>
      <c r="BP17" s="18">
        <f t="shared" si="27"/>
        <v>10069.999999999996</v>
      </c>
      <c r="BQ17" s="18">
        <f t="shared" si="39"/>
        <v>415789.03700000001</v>
      </c>
      <c r="BS17" s="14"/>
      <c r="BT17" s="14"/>
      <c r="BU17" s="14"/>
      <c r="BW17" s="18"/>
      <c r="BX17" s="18"/>
      <c r="BZ17" s="18"/>
      <c r="CA17" s="18"/>
      <c r="CC17" s="18"/>
      <c r="CD17" s="18"/>
      <c r="CF17" s="19">
        <v>15.094810915956861</v>
      </c>
      <c r="CG17" s="19">
        <v>5.5964344898249401</v>
      </c>
      <c r="CH17" s="19">
        <v>0.49</v>
      </c>
      <c r="CI17" s="19">
        <f t="shared" si="8"/>
        <v>12.812969380912275</v>
      </c>
      <c r="CK17" s="22">
        <f t="shared" si="9"/>
        <v>48502.004000000015</v>
      </c>
      <c r="CL17" s="22">
        <f t="shared" si="10"/>
        <v>4723.5749999999962</v>
      </c>
      <c r="CM17" s="22">
        <f t="shared" si="40"/>
        <v>49.342999999999982</v>
      </c>
      <c r="CN17" s="22"/>
      <c r="CO17" s="44"/>
      <c r="CP17" s="44"/>
      <c r="CQ17" s="22"/>
      <c r="CR17" s="44"/>
      <c r="CS17" s="44"/>
      <c r="CT17" s="22"/>
      <c r="CU17" s="44"/>
      <c r="CV17" s="44"/>
      <c r="CW17" s="103">
        <v>506</v>
      </c>
      <c r="CX17" s="103">
        <v>7</v>
      </c>
      <c r="CZ17" s="22">
        <f t="shared" si="11"/>
        <v>53787.922000000013</v>
      </c>
      <c r="DA17" s="44"/>
      <c r="DB17" s="44"/>
      <c r="DD17" s="86">
        <f t="shared" si="41"/>
        <v>8.938499090253238</v>
      </c>
      <c r="DE17" s="86">
        <f t="shared" si="42"/>
        <v>3.4556376086369021</v>
      </c>
      <c r="DF17" s="86">
        <f t="shared" si="43"/>
        <v>12.703018835100607</v>
      </c>
    </row>
    <row r="18" spans="1:110" x14ac:dyDescent="0.15">
      <c r="A18" s="12">
        <f t="shared" si="28"/>
        <v>2007</v>
      </c>
      <c r="B18" s="44">
        <v>349235.61700000003</v>
      </c>
      <c r="C18" s="44">
        <v>88802.671999999991</v>
      </c>
      <c r="D18" s="44">
        <v>10974</v>
      </c>
      <c r="E18" s="102">
        <v>1734</v>
      </c>
      <c r="F18" s="102">
        <v>64</v>
      </c>
      <c r="G18" s="102">
        <v>14091</v>
      </c>
      <c r="H18" s="90">
        <f t="shared" si="44"/>
        <v>464901.28899999999</v>
      </c>
      <c r="I18" s="12"/>
      <c r="J18" s="14">
        <f t="shared" si="0"/>
        <v>12.763502093737182</v>
      </c>
      <c r="K18" s="14">
        <f t="shared" si="1"/>
        <v>11.394172018617654</v>
      </c>
      <c r="L18" s="14">
        <f t="shared" si="12"/>
        <v>9.3032841176189205</v>
      </c>
      <c r="M18" s="12"/>
      <c r="N18" s="44">
        <v>522556</v>
      </c>
      <c r="O18" s="44">
        <v>17116.5</v>
      </c>
      <c r="P18" s="44">
        <v>88627.89</v>
      </c>
      <c r="Q18" s="44">
        <f t="shared" si="2"/>
        <v>30.529372243157187</v>
      </c>
      <c r="R18" s="44">
        <v>36148246.995833337</v>
      </c>
      <c r="S18" s="14"/>
      <c r="T18" s="14">
        <f t="shared" si="3"/>
        <v>13.166487434111549</v>
      </c>
      <c r="U18" s="14">
        <f t="shared" si="3"/>
        <v>9.7477981895428449</v>
      </c>
      <c r="V18" s="14">
        <f t="shared" si="3"/>
        <v>11.392201872611642</v>
      </c>
      <c r="W18" s="14">
        <f t="shared" si="3"/>
        <v>3.418689244568704</v>
      </c>
      <c r="X18" s="14">
        <f t="shared" si="3"/>
        <v>17.40313901288518</v>
      </c>
      <c r="Y18" s="14"/>
      <c r="Z18" s="14"/>
      <c r="AA18" s="14"/>
      <c r="AB18" s="14"/>
      <c r="AC18" s="14"/>
      <c r="AD18" s="14">
        <f t="shared" si="4"/>
        <v>1.1763972056293426E-3</v>
      </c>
      <c r="AE18" s="14">
        <f t="shared" si="5"/>
        <v>-1.3933367808153463E-2</v>
      </c>
      <c r="AF18" s="14">
        <f t="shared" si="13"/>
        <v>4.9487796644466009E-2</v>
      </c>
      <c r="AG18" s="14"/>
      <c r="AH18" s="14">
        <f t="shared" si="14"/>
        <v>3.634925186405269E-2</v>
      </c>
      <c r="AI18" s="14">
        <f t="shared" si="15"/>
        <v>6.2553660967852309E-2</v>
      </c>
      <c r="AJ18" s="14">
        <f t="shared" si="16"/>
        <v>4.6199674763701015E-2</v>
      </c>
      <c r="AK18" s="14">
        <f t="shared" si="29"/>
        <v>0.11908344417448902</v>
      </c>
      <c r="AL18" s="14"/>
      <c r="AM18" s="14">
        <f t="shared" si="17"/>
        <v>4.4961262012691502E-2</v>
      </c>
      <c r="AN18" s="14">
        <f t="shared" si="30"/>
        <v>2.7514509160850038E-2</v>
      </c>
      <c r="AO18" s="14">
        <f t="shared" si="18"/>
        <v>4.0515636378173348E-2</v>
      </c>
      <c r="AP18" s="14">
        <f t="shared" si="31"/>
        <v>0.11936483835307332</v>
      </c>
      <c r="AQ18" s="15">
        <f t="shared" si="32"/>
        <v>-2.3180058377636589E-3</v>
      </c>
      <c r="AR18" s="15">
        <f t="shared" si="19"/>
        <v>1.5158310012907022E-3</v>
      </c>
      <c r="AS18" s="15">
        <f t="shared" si="33"/>
        <v>-2.1298706015837467E-2</v>
      </c>
      <c r="AT18" s="14">
        <f t="shared" si="20"/>
        <v>0</v>
      </c>
      <c r="AU18" s="14">
        <f t="shared" si="20"/>
        <v>0</v>
      </c>
      <c r="AV18" s="14">
        <f t="shared" si="20"/>
        <v>0</v>
      </c>
      <c r="AW18" s="14"/>
      <c r="AX18" s="15">
        <f t="shared" si="34"/>
        <v>8.3158892553101188E-2</v>
      </c>
      <c r="AY18" s="15">
        <f t="shared" si="21"/>
        <v>2.903034016214074E-2</v>
      </c>
      <c r="AZ18" s="15">
        <f t="shared" si="35"/>
        <v>9.8066132337235851E-2</v>
      </c>
      <c r="BA18" s="16"/>
      <c r="BB18" s="15">
        <f t="shared" si="36"/>
        <v>1.6365634693080167E-4</v>
      </c>
      <c r="BC18" s="15">
        <f t="shared" si="22"/>
        <v>2.1779982044915207E-2</v>
      </c>
      <c r="BD18" s="15">
        <f t="shared" si="37"/>
        <v>-1.2098000430923045E-2</v>
      </c>
      <c r="BE18" s="16"/>
      <c r="BF18" s="16">
        <f t="shared" si="23"/>
        <v>3.7017963709066626</v>
      </c>
      <c r="BG18" s="16">
        <f t="shared" si="24"/>
        <v>6.4551582253431716</v>
      </c>
      <c r="BH18" s="16">
        <f t="shared" si="25"/>
        <v>4.7283506167346223</v>
      </c>
      <c r="BI18" s="16">
        <f t="shared" si="38"/>
        <v>12.646391121788092</v>
      </c>
      <c r="BK18" s="17">
        <f t="shared" si="6"/>
        <v>12.763502093737182</v>
      </c>
      <c r="BL18" s="17">
        <f t="shared" si="7"/>
        <v>11.394172018617654</v>
      </c>
      <c r="BM18" s="17">
        <f t="shared" si="26"/>
        <v>9.3032841176189205</v>
      </c>
      <c r="BN18" s="18">
        <f t="shared" si="27"/>
        <v>349235.61699999979</v>
      </c>
      <c r="BO18" s="18">
        <f t="shared" si="27"/>
        <v>88802.672000000035</v>
      </c>
      <c r="BP18" s="18">
        <f t="shared" si="27"/>
        <v>10973.999999999998</v>
      </c>
      <c r="BQ18" s="18">
        <f t="shared" si="39"/>
        <v>449012.28899999982</v>
      </c>
      <c r="BS18" s="14"/>
      <c r="BT18" s="14"/>
      <c r="BU18" s="14"/>
      <c r="BW18" s="18"/>
      <c r="BX18" s="18"/>
      <c r="BZ18" s="18"/>
      <c r="CA18" s="18"/>
      <c r="CC18" s="18"/>
      <c r="CD18" s="18"/>
      <c r="CF18" s="19">
        <v>15.114874723674014</v>
      </c>
      <c r="CG18" s="19">
        <v>5.3731750323909182</v>
      </c>
      <c r="CH18" s="19">
        <v>0.27</v>
      </c>
      <c r="CI18" s="19">
        <f t="shared" si="8"/>
        <v>12.825412624731072</v>
      </c>
      <c r="CK18" s="22">
        <f t="shared" si="9"/>
        <v>52786.525999999962</v>
      </c>
      <c r="CL18" s="22">
        <f t="shared" si="10"/>
        <v>4771.5230000000029</v>
      </c>
      <c r="CM18" s="22">
        <f t="shared" si="40"/>
        <v>29.629799999999996</v>
      </c>
      <c r="CN18" s="22"/>
      <c r="CO18" s="44"/>
      <c r="CP18" s="44"/>
      <c r="CQ18" s="22"/>
      <c r="CR18" s="44"/>
      <c r="CS18" s="44"/>
      <c r="CT18" s="22"/>
      <c r="CU18" s="44"/>
      <c r="CV18" s="44"/>
      <c r="CW18" s="103">
        <v>539</v>
      </c>
      <c r="CX18" s="103">
        <v>11</v>
      </c>
      <c r="CZ18" s="22">
        <f t="shared" si="11"/>
        <v>58137.678799999965</v>
      </c>
      <c r="DA18" s="44"/>
      <c r="DB18" s="44"/>
      <c r="DD18" s="86">
        <f t="shared" si="41"/>
        <v>7.9904107717010291</v>
      </c>
      <c r="DE18" s="86">
        <f t="shared" si="42"/>
        <v>9.7114442787432975E-2</v>
      </c>
      <c r="DF18" s="86">
        <f t="shared" si="43"/>
        <v>8.095285057385821</v>
      </c>
    </row>
    <row r="19" spans="1:110" x14ac:dyDescent="0.15">
      <c r="A19" s="12">
        <f t="shared" si="28"/>
        <v>2008</v>
      </c>
      <c r="B19" s="44">
        <v>366818.77500000002</v>
      </c>
      <c r="C19" s="44">
        <v>97825.816000000021</v>
      </c>
      <c r="D19" s="44">
        <v>14739.505999999999</v>
      </c>
      <c r="E19" s="102">
        <v>1679</v>
      </c>
      <c r="F19" s="102">
        <v>86</v>
      </c>
      <c r="G19" s="102">
        <v>16792</v>
      </c>
      <c r="H19" s="90">
        <f t="shared" si="44"/>
        <v>497941.09700000001</v>
      </c>
      <c r="I19" s="12"/>
      <c r="J19" s="14">
        <f t="shared" si="0"/>
        <v>12.812623203986879</v>
      </c>
      <c r="K19" s="14">
        <f t="shared" si="1"/>
        <v>11.49094378846984</v>
      </c>
      <c r="L19" s="14">
        <f t="shared" si="12"/>
        <v>9.5982866509347655</v>
      </c>
      <c r="M19" s="12"/>
      <c r="N19" s="44">
        <v>559777</v>
      </c>
      <c r="O19" s="44">
        <v>17160.900000000001</v>
      </c>
      <c r="P19" s="44">
        <v>94008.989999999991</v>
      </c>
      <c r="Q19" s="44">
        <f t="shared" si="2"/>
        <v>32.619326492200287</v>
      </c>
      <c r="R19" s="44">
        <v>48704718.406666666</v>
      </c>
      <c r="S19" s="14"/>
      <c r="T19" s="14">
        <f t="shared" si="3"/>
        <v>13.235293769117254</v>
      </c>
      <c r="U19" s="14">
        <f t="shared" si="3"/>
        <v>9.7503888192190757</v>
      </c>
      <c r="V19" s="14">
        <f t="shared" si="3"/>
        <v>11.451145694976963</v>
      </c>
      <c r="W19" s="14">
        <f t="shared" si="3"/>
        <v>3.4849049498981777</v>
      </c>
      <c r="X19" s="14">
        <f t="shared" si="3"/>
        <v>17.701286470560103</v>
      </c>
      <c r="Y19" s="14"/>
      <c r="Z19" s="14"/>
      <c r="AA19" s="14"/>
      <c r="AB19" s="14"/>
      <c r="AC19" s="14"/>
      <c r="AD19" s="14">
        <f t="shared" si="4"/>
        <v>-1.1525611472633202E-2</v>
      </c>
      <c r="AE19" s="14">
        <f t="shared" si="5"/>
        <v>2.3812294102690146E-2</v>
      </c>
      <c r="AF19" s="14">
        <f t="shared" si="13"/>
        <v>5.5545789861443318E-2</v>
      </c>
      <c r="AG19" s="14"/>
      <c r="AH19" s="14">
        <f t="shared" si="14"/>
        <v>2.5906296762308045E-3</v>
      </c>
      <c r="AI19" s="14">
        <f t="shared" si="15"/>
        <v>5.8943822365321807E-2</v>
      </c>
      <c r="AJ19" s="14">
        <f t="shared" si="16"/>
        <v>6.6215705329473629E-2</v>
      </c>
      <c r="AK19" s="14">
        <f t="shared" si="29"/>
        <v>0.29814745767492212</v>
      </c>
      <c r="AL19" s="14"/>
      <c r="AM19" s="14">
        <f t="shared" si="17"/>
        <v>3.2044120216421115E-3</v>
      </c>
      <c r="AN19" s="14">
        <f t="shared" si="30"/>
        <v>2.214681089736327E-2</v>
      </c>
      <c r="AO19" s="14">
        <f t="shared" si="18"/>
        <v>5.806905467137783E-2</v>
      </c>
      <c r="AP19" s="14">
        <f t="shared" si="31"/>
        <v>0.29885198011740793</v>
      </c>
      <c r="AQ19" s="15">
        <f t="shared" si="32"/>
        <v>-5.9998022082904912E-4</v>
      </c>
      <c r="AR19" s="15">
        <f t="shared" si="19"/>
        <v>1.0044509119426599E-2</v>
      </c>
      <c r="AS19" s="15">
        <f t="shared" si="33"/>
        <v>-1.3354380900102441E-2</v>
      </c>
      <c r="AT19" s="14">
        <f t="shared" si="20"/>
        <v>0</v>
      </c>
      <c r="AU19" s="14">
        <f t="shared" si="20"/>
        <v>0</v>
      </c>
      <c r="AV19" s="14">
        <f t="shared" si="20"/>
        <v>0</v>
      </c>
      <c r="AW19" s="14"/>
      <c r="AX19" s="15">
        <f t="shared" si="34"/>
        <v>6.0673486472190889E-2</v>
      </c>
      <c r="AY19" s="15">
        <f t="shared" si="21"/>
        <v>3.2191320016789871E-2</v>
      </c>
      <c r="AZ19" s="15">
        <f t="shared" si="35"/>
        <v>0.2854975992173055</v>
      </c>
      <c r="BA19" s="16"/>
      <c r="BB19" s="15">
        <f t="shared" si="36"/>
        <v>-1.1552376222493992E-2</v>
      </c>
      <c r="BC19" s="15">
        <f t="shared" si="22"/>
        <v>6.458044983539607E-2</v>
      </c>
      <c r="BD19" s="15">
        <f t="shared" si="37"/>
        <v>9.5049340985395303E-3</v>
      </c>
      <c r="BE19" s="16"/>
      <c r="BF19" s="16">
        <f t="shared" si="23"/>
        <v>0.25939882569452344</v>
      </c>
      <c r="BG19" s="16">
        <f t="shared" si="24"/>
        <v>6.071565057004058</v>
      </c>
      <c r="BH19" s="16">
        <f t="shared" si="25"/>
        <v>6.845716421540704</v>
      </c>
      <c r="BI19" s="16">
        <f t="shared" si="38"/>
        <v>34.736045187144661</v>
      </c>
      <c r="BK19" s="17">
        <f t="shared" si="6"/>
        <v>12.812623203986879</v>
      </c>
      <c r="BL19" s="17">
        <f t="shared" si="7"/>
        <v>11.49094378846984</v>
      </c>
      <c r="BM19" s="17">
        <f t="shared" si="26"/>
        <v>9.5982866509347655</v>
      </c>
      <c r="BN19" s="18">
        <f t="shared" si="27"/>
        <v>366818.77499999973</v>
      </c>
      <c r="BO19" s="18">
        <f t="shared" si="27"/>
        <v>97825.816000000064</v>
      </c>
      <c r="BP19" s="18">
        <f t="shared" si="27"/>
        <v>14739.505999999999</v>
      </c>
      <c r="BQ19" s="18">
        <f t="shared" si="39"/>
        <v>479384.09699999978</v>
      </c>
      <c r="BS19" s="14"/>
      <c r="BT19" s="14"/>
      <c r="BU19" s="14"/>
      <c r="BW19" s="18"/>
      <c r="BX19" s="18"/>
      <c r="BZ19" s="18"/>
      <c r="CA19" s="18"/>
      <c r="CC19" s="18"/>
      <c r="CD19" s="18"/>
      <c r="CF19" s="19">
        <v>14.478788060943717</v>
      </c>
      <c r="CG19" s="19">
        <v>5.0225699114025275</v>
      </c>
      <c r="CH19" s="19">
        <v>0.18</v>
      </c>
      <c r="CI19" s="19">
        <f t="shared" si="8"/>
        <v>12.109457629922165</v>
      </c>
      <c r="CK19" s="22">
        <f t="shared" si="9"/>
        <v>53110.912999999964</v>
      </c>
      <c r="CL19" s="22">
        <f t="shared" si="10"/>
        <v>4913.3700000000026</v>
      </c>
      <c r="CM19" s="22">
        <f t="shared" si="40"/>
        <v>26.531110799999997</v>
      </c>
      <c r="CN19" s="22"/>
      <c r="CO19" s="44"/>
      <c r="CP19" s="44"/>
      <c r="CQ19" s="22"/>
      <c r="CR19" s="44"/>
      <c r="CS19" s="44"/>
      <c r="CT19" s="22"/>
      <c r="CU19" s="44"/>
      <c r="CV19" s="44"/>
      <c r="CW19" s="103">
        <v>523</v>
      </c>
      <c r="CX19" s="103">
        <v>14</v>
      </c>
      <c r="CZ19" s="22">
        <f t="shared" si="11"/>
        <v>58587.814110799969</v>
      </c>
      <c r="DA19" s="44"/>
      <c r="DB19" s="44"/>
      <c r="DD19" s="86">
        <f t="shared" si="41"/>
        <v>6.7641373619509153</v>
      </c>
      <c r="DE19" s="86">
        <f t="shared" si="42"/>
        <v>-5.5823154837789835</v>
      </c>
      <c r="DF19" s="86">
        <f t="shared" si="43"/>
        <v>0.80422639087166026</v>
      </c>
    </row>
    <row r="20" spans="1:110" x14ac:dyDescent="0.15">
      <c r="A20" s="12">
        <f t="shared" si="28"/>
        <v>2009</v>
      </c>
      <c r="B20" s="44">
        <v>352145.125</v>
      </c>
      <c r="C20" s="44">
        <v>102233.27099999999</v>
      </c>
      <c r="D20" s="44">
        <v>22159.655999999999</v>
      </c>
      <c r="E20" s="91">
        <v>1558</v>
      </c>
      <c r="F20" s="91">
        <v>82</v>
      </c>
      <c r="G20" s="91">
        <v>17958</v>
      </c>
      <c r="H20" s="90">
        <f>+B20+C20+D20+E20+F20+G20</f>
        <v>496136.05200000003</v>
      </c>
      <c r="I20" s="13"/>
      <c r="J20" s="14">
        <f t="shared" si="0"/>
        <v>12.771798656545148</v>
      </c>
      <c r="K20" s="14">
        <f t="shared" si="1"/>
        <v>11.535012451717712</v>
      </c>
      <c r="L20" s="14">
        <f t="shared" si="12"/>
        <v>10.006028617275026</v>
      </c>
      <c r="M20" s="12"/>
      <c r="N20" s="44">
        <v>549173</v>
      </c>
      <c r="O20" s="44">
        <v>16132.1</v>
      </c>
      <c r="P20" s="44">
        <v>98643.66</v>
      </c>
      <c r="Q20" s="44">
        <f t="shared" si="2"/>
        <v>34.042251163828638</v>
      </c>
      <c r="R20" s="44">
        <v>74350316.100833341</v>
      </c>
      <c r="S20" s="14"/>
      <c r="T20" s="14">
        <f t="shared" si="3"/>
        <v>13.216168789249378</v>
      </c>
      <c r="U20" s="14">
        <f t="shared" si="3"/>
        <v>9.6885663548334566</v>
      </c>
      <c r="V20" s="14">
        <f t="shared" si="3"/>
        <v>11.499269241772737</v>
      </c>
      <c r="W20" s="14">
        <f t="shared" si="3"/>
        <v>3.5276024344159231</v>
      </c>
      <c r="X20" s="14">
        <f t="shared" si="3"/>
        <v>18.124298482385722</v>
      </c>
      <c r="Y20" s="14"/>
      <c r="Z20" s="14"/>
      <c r="AA20" s="14"/>
      <c r="AB20" s="14"/>
      <c r="AC20" s="14"/>
      <c r="AD20" s="14">
        <f t="shared" si="4"/>
        <v>-1.2152219796780273E-2</v>
      </c>
      <c r="AE20" s="14">
        <f t="shared" si="5"/>
        <v>1.9690230083460492E-2</v>
      </c>
      <c r="AF20" s="14">
        <f t="shared" si="13"/>
        <v>5.3332856145103413E-2</v>
      </c>
      <c r="AG20" s="14"/>
      <c r="AH20" s="14">
        <f t="shared" si="14"/>
        <v>-6.1822464385619114E-2</v>
      </c>
      <c r="AI20" s="14">
        <f t="shared" si="15"/>
        <v>4.8123546795773464E-2</v>
      </c>
      <c r="AJ20" s="14">
        <f t="shared" si="16"/>
        <v>4.2697484517745465E-2</v>
      </c>
      <c r="AK20" s="14">
        <f t="shared" si="29"/>
        <v>0.42301201182561954</v>
      </c>
      <c r="AL20" s="14"/>
      <c r="AM20" s="14">
        <f t="shared" si="17"/>
        <v>-7.6469689937717536E-2</v>
      </c>
      <c r="AN20" s="14">
        <f t="shared" si="30"/>
        <v>2.086876558933036E-2</v>
      </c>
      <c r="AO20" s="14">
        <f t="shared" si="18"/>
        <v>3.7444327602558204E-2</v>
      </c>
      <c r="AP20" s="14">
        <f t="shared" si="31"/>
        <v>0.42401158920956344</v>
      </c>
      <c r="AQ20" s="15">
        <f t="shared" si="32"/>
        <v>5.8782347352150221E-3</v>
      </c>
      <c r="AR20" s="15">
        <f t="shared" si="19"/>
        <v>-1.7166187569452915E-2</v>
      </c>
      <c r="AS20" s="15">
        <f t="shared" si="33"/>
        <v>-1.49891424856902E-2</v>
      </c>
      <c r="AT20" s="14">
        <f t="shared" si="20"/>
        <v>0</v>
      </c>
      <c r="AU20" s="14">
        <f t="shared" si="20"/>
        <v>0</v>
      </c>
      <c r="AV20" s="14">
        <f t="shared" si="20"/>
        <v>0</v>
      </c>
      <c r="AW20" s="14"/>
      <c r="AX20" s="15">
        <f t="shared" si="34"/>
        <v>-3.3147127599944308E-2</v>
      </c>
      <c r="AY20" s="15">
        <f t="shared" si="21"/>
        <v>3.7025780198774449E-3</v>
      </c>
      <c r="AZ20" s="15">
        <f t="shared" si="35"/>
        <v>0.40902244672387322</v>
      </c>
      <c r="BA20" s="16"/>
      <c r="BB20" s="15">
        <f t="shared" si="36"/>
        <v>-7.6774198417873876E-3</v>
      </c>
      <c r="BC20" s="15">
        <f t="shared" si="22"/>
        <v>4.0366085227994508E-2</v>
      </c>
      <c r="BD20" s="15">
        <f t="shared" si="37"/>
        <v>-1.2804803836123924E-3</v>
      </c>
      <c r="BE20" s="16"/>
      <c r="BF20" s="16">
        <f t="shared" si="23"/>
        <v>-5.9950235710248378</v>
      </c>
      <c r="BG20" s="16">
        <f t="shared" si="24"/>
        <v>4.9300285004657773</v>
      </c>
      <c r="BH20" s="16">
        <f t="shared" si="25"/>
        <v>4.3622135238402082</v>
      </c>
      <c r="BI20" s="16">
        <f t="shared" si="38"/>
        <v>52.6552632540348</v>
      </c>
      <c r="BK20" s="17">
        <f t="shared" si="6"/>
        <v>12.771798656545148</v>
      </c>
      <c r="BL20" s="17">
        <f t="shared" si="7"/>
        <v>11.535012451717712</v>
      </c>
      <c r="BM20" s="17">
        <f t="shared" si="26"/>
        <v>10.006028617275026</v>
      </c>
      <c r="BN20" s="18">
        <f t="shared" si="27"/>
        <v>352145.12499999977</v>
      </c>
      <c r="BO20" s="18">
        <f t="shared" si="27"/>
        <v>102233.27100000001</v>
      </c>
      <c r="BP20" s="18">
        <f t="shared" si="27"/>
        <v>22159.65600000001</v>
      </c>
      <c r="BQ20" s="18">
        <f t="shared" si="39"/>
        <v>476538.05199999979</v>
      </c>
      <c r="BS20" s="14"/>
      <c r="BT20" s="14"/>
      <c r="BU20" s="14"/>
      <c r="BW20" s="18"/>
      <c r="BX20" s="18"/>
      <c r="BZ20" s="18"/>
      <c r="CA20" s="18"/>
      <c r="CC20" s="18"/>
      <c r="CD20" s="18"/>
      <c r="CF20" s="19">
        <v>14.756446791645914</v>
      </c>
      <c r="CG20" s="19">
        <v>5.1590455322514339</v>
      </c>
      <c r="CH20" s="19">
        <v>0.16</v>
      </c>
      <c r="CI20" s="19">
        <f t="shared" si="8"/>
        <v>12.018730552413464</v>
      </c>
      <c r="CK20" s="22">
        <f t="shared" si="9"/>
        <v>51964.107999999964</v>
      </c>
      <c r="CL20" s="22">
        <f t="shared" si="10"/>
        <v>5274.2610000000013</v>
      </c>
      <c r="CM20" s="22">
        <f t="shared" si="40"/>
        <v>35.455449600000016</v>
      </c>
      <c r="CN20" s="22"/>
      <c r="CO20" s="44"/>
      <c r="CP20" s="44"/>
      <c r="CQ20" s="22"/>
      <c r="CR20" s="44"/>
      <c r="CS20" s="44"/>
      <c r="CT20" s="22"/>
      <c r="CU20" s="44"/>
      <c r="CV20" s="44"/>
      <c r="CW20" s="44">
        <v>488.84004573000004</v>
      </c>
      <c r="CX20" s="44">
        <v>13.9400069</v>
      </c>
      <c r="CZ20" s="22">
        <f t="shared" si="11"/>
        <v>57776.604502229959</v>
      </c>
      <c r="DA20" s="44"/>
      <c r="DB20" s="44"/>
      <c r="DD20" s="86">
        <f t="shared" si="41"/>
        <v>-0.59368782106261309</v>
      </c>
      <c r="DE20" s="86">
        <f t="shared" si="42"/>
        <v>-0.74922494699115738</v>
      </c>
      <c r="DF20" s="86">
        <f t="shared" si="43"/>
        <v>-1.3384647107911181</v>
      </c>
    </row>
    <row r="21" spans="1:110" x14ac:dyDescent="0.15">
      <c r="A21" s="12">
        <f t="shared" si="28"/>
        <v>2010</v>
      </c>
      <c r="B21" s="44">
        <v>344505.60200000007</v>
      </c>
      <c r="C21" s="44">
        <v>106850.106</v>
      </c>
      <c r="D21" s="44">
        <v>23353.302</v>
      </c>
      <c r="E21" s="91">
        <v>1512</v>
      </c>
      <c r="F21" s="91">
        <v>54</v>
      </c>
      <c r="G21" s="91">
        <v>17593</v>
      </c>
      <c r="H21" s="90">
        <f t="shared" ref="H21:H24" si="45">+B21+C21+D21+E21+F21+G21</f>
        <v>493868.01000000013</v>
      </c>
      <c r="I21" s="13"/>
      <c r="J21" s="14">
        <f t="shared" si="0"/>
        <v>12.749865630551824</v>
      </c>
      <c r="K21" s="14">
        <f t="shared" si="1"/>
        <v>11.579182252791725</v>
      </c>
      <c r="L21" s="14">
        <f t="shared" si="12"/>
        <v>10.058493666375361</v>
      </c>
      <c r="M21" s="12"/>
      <c r="N21" s="44">
        <v>541475</v>
      </c>
      <c r="O21" s="44">
        <v>15739.8</v>
      </c>
      <c r="P21" s="44">
        <v>105729.34</v>
      </c>
      <c r="Q21" s="44">
        <f t="shared" si="2"/>
        <v>34.401644239443961</v>
      </c>
      <c r="R21" s="44">
        <v>85439956.679999992</v>
      </c>
      <c r="S21" s="14"/>
      <c r="T21" s="14">
        <f t="shared" si="3"/>
        <v>13.202052176305697</v>
      </c>
      <c r="U21" s="14">
        <f t="shared" si="3"/>
        <v>9.6639478154103617</v>
      </c>
      <c r="V21" s="14">
        <f t="shared" si="3"/>
        <v>11.568637711391757</v>
      </c>
      <c r="W21" s="14">
        <f t="shared" si="3"/>
        <v>3.5381043608953355</v>
      </c>
      <c r="X21" s="14">
        <f t="shared" si="3"/>
        <v>18.263324426153559</v>
      </c>
      <c r="Y21" s="14"/>
      <c r="Z21" s="14"/>
      <c r="AA21" s="14"/>
      <c r="AB21" s="14"/>
      <c r="AC21" s="14"/>
      <c r="AD21" s="14">
        <f t="shared" si="4"/>
        <v>-1.2329055299291625E-2</v>
      </c>
      <c r="AE21" s="14">
        <f t="shared" si="5"/>
        <v>-5.6052768451344548E-3</v>
      </c>
      <c r="AF21" s="14">
        <f t="shared" si="13"/>
        <v>-2.8936724716115414E-2</v>
      </c>
      <c r="AG21" s="14"/>
      <c r="AH21" s="14">
        <f t="shared" si="14"/>
        <v>-2.4618539423094887E-2</v>
      </c>
      <c r="AI21" s="14">
        <f t="shared" si="15"/>
        <v>6.936846961901999E-2</v>
      </c>
      <c r="AJ21" s="14">
        <f t="shared" si="16"/>
        <v>1.0501926479412393E-2</v>
      </c>
      <c r="AK21" s="14">
        <f t="shared" si="29"/>
        <v>0.13902594376783739</v>
      </c>
      <c r="AL21" s="14"/>
      <c r="AM21" s="14">
        <f t="shared" si="17"/>
        <v>-3.0451262257372217E-2</v>
      </c>
      <c r="AN21" s="14">
        <f t="shared" si="30"/>
        <v>1.7037901125309615E-2</v>
      </c>
      <c r="AO21" s="14">
        <f t="shared" si="18"/>
        <v>9.2098534607973279E-3</v>
      </c>
      <c r="AP21" s="14">
        <f t="shared" si="31"/>
        <v>0.13935446207296079</v>
      </c>
      <c r="AQ21" s="15">
        <f t="shared" si="32"/>
        <v>6.1978143796548903E-3</v>
      </c>
      <c r="AR21" s="15">
        <f t="shared" si="19"/>
        <v>-1.4194608106246334E-2</v>
      </c>
      <c r="AS21" s="15">
        <f t="shared" si="33"/>
        <v>-1.4391977896468445E-2</v>
      </c>
      <c r="AT21" s="14">
        <f t="shared" si="20"/>
        <v>0</v>
      </c>
      <c r="AU21" s="14">
        <f t="shared" si="20"/>
        <v>0</v>
      </c>
      <c r="AV21" s="14">
        <f t="shared" si="20"/>
        <v>0</v>
      </c>
      <c r="AW21" s="14"/>
      <c r="AX21" s="15">
        <f t="shared" si="34"/>
        <v>-1.5043594416919999E-2</v>
      </c>
      <c r="AY21" s="15">
        <f t="shared" si="21"/>
        <v>2.8432930190632807E-3</v>
      </c>
      <c r="AZ21" s="15">
        <f t="shared" si="35"/>
        <v>0.12496248417649235</v>
      </c>
      <c r="BA21" s="16"/>
      <c r="BB21" s="15">
        <f t="shared" si="36"/>
        <v>-6.889431576403697E-3</v>
      </c>
      <c r="BC21" s="15">
        <f t="shared" si="22"/>
        <v>4.13265080549493E-2</v>
      </c>
      <c r="BD21" s="15">
        <f t="shared" si="37"/>
        <v>-7.249743507615812E-2</v>
      </c>
      <c r="BE21" s="16"/>
      <c r="BF21" s="16">
        <f t="shared" si="23"/>
        <v>-2.4317974721208113</v>
      </c>
      <c r="BG21" s="16">
        <f t="shared" si="24"/>
        <v>7.183107358344154</v>
      </c>
      <c r="BH21" s="16">
        <f t="shared" si="25"/>
        <v>1.0557265260917603</v>
      </c>
      <c r="BI21" s="16">
        <f t="shared" si="38"/>
        <v>14.915391299919921</v>
      </c>
      <c r="BK21" s="17">
        <f t="shared" si="6"/>
        <v>12.749865630551824</v>
      </c>
      <c r="BL21" s="17">
        <f t="shared" si="7"/>
        <v>11.579182252791725</v>
      </c>
      <c r="BM21" s="17">
        <f t="shared" si="26"/>
        <v>10.058493666375361</v>
      </c>
      <c r="BN21" s="18">
        <f t="shared" si="27"/>
        <v>344505.60200000013</v>
      </c>
      <c r="BO21" s="18">
        <f t="shared" si="27"/>
        <v>106850.10600000004</v>
      </c>
      <c r="BP21" s="18">
        <f t="shared" si="27"/>
        <v>23353.302000000018</v>
      </c>
      <c r="BQ21" s="18">
        <f t="shared" si="39"/>
        <v>474709.01000000018</v>
      </c>
      <c r="BS21" s="14"/>
      <c r="BT21" s="14"/>
      <c r="BU21" s="14"/>
      <c r="BW21" s="18"/>
      <c r="BX21" s="18"/>
      <c r="BZ21" s="18"/>
      <c r="CA21" s="18"/>
      <c r="CC21" s="18"/>
      <c r="CD21" s="18"/>
      <c r="CF21" s="19">
        <v>15.787292770931483</v>
      </c>
      <c r="CG21" s="19">
        <v>6.1339171717808121</v>
      </c>
      <c r="CH21" s="19">
        <v>0.31</v>
      </c>
      <c r="CI21" s="19">
        <f t="shared" si="8"/>
        <v>12.853052912604291</v>
      </c>
      <c r="CK21" s="22">
        <f t="shared" si="9"/>
        <v>54388.108000000007</v>
      </c>
      <c r="CL21" s="22">
        <f t="shared" si="10"/>
        <v>6554.0970000000034</v>
      </c>
      <c r="CM21" s="22">
        <f t="shared" si="40"/>
        <v>72.395236200000056</v>
      </c>
      <c r="CN21" s="22"/>
      <c r="CO21" s="44"/>
      <c r="CP21" s="44"/>
      <c r="CQ21" s="22"/>
      <c r="CR21" s="44"/>
      <c r="CS21" s="44"/>
      <c r="CT21" s="22"/>
      <c r="CU21" s="44"/>
      <c r="CV21" s="44"/>
      <c r="CW21" s="44">
        <v>479.93803492000001</v>
      </c>
      <c r="CX21" s="44">
        <v>9.09698897</v>
      </c>
      <c r="CZ21" s="22">
        <f t="shared" si="11"/>
        <v>61503.635260090006</v>
      </c>
      <c r="DA21" s="44"/>
      <c r="DB21" s="44"/>
      <c r="DC21" s="50"/>
      <c r="DD21" s="86">
        <f t="shared" si="41"/>
        <v>-0.38381866722364055</v>
      </c>
      <c r="DE21" s="86">
        <f t="shared" si="42"/>
        <v>6.9418509430123443</v>
      </c>
      <c r="DF21" s="86">
        <f t="shared" si="43"/>
        <v>6.5313881560185818</v>
      </c>
    </row>
    <row r="22" spans="1:110" x14ac:dyDescent="0.15">
      <c r="A22" s="12">
        <f t="shared" si="28"/>
        <v>2011</v>
      </c>
      <c r="B22" s="44">
        <v>339789.08500000002</v>
      </c>
      <c r="C22" s="44">
        <v>112456.00400000002</v>
      </c>
      <c r="D22" s="44">
        <v>21661.037</v>
      </c>
      <c r="E22" s="91">
        <v>1488</v>
      </c>
      <c r="F22" s="91">
        <v>54</v>
      </c>
      <c r="G22" s="91">
        <v>19190</v>
      </c>
      <c r="H22" s="90">
        <f t="shared" si="45"/>
        <v>494638.12600000005</v>
      </c>
      <c r="I22" s="13"/>
      <c r="J22" s="14">
        <f t="shared" si="0"/>
        <v>12.736080365867677</v>
      </c>
      <c r="K22" s="14">
        <f t="shared" si="1"/>
        <v>11.630317348581068</v>
      </c>
      <c r="L22" s="14">
        <f t="shared" si="12"/>
        <v>9.9832703956785718</v>
      </c>
      <c r="M22" s="12"/>
      <c r="N22" s="44">
        <v>531879</v>
      </c>
      <c r="O22" s="44">
        <v>15328.3</v>
      </c>
      <c r="P22" s="44">
        <v>109537.9</v>
      </c>
      <c r="Q22" s="44">
        <f t="shared" si="2"/>
        <v>34.699151243125463</v>
      </c>
      <c r="R22" s="44">
        <v>80816514.433333322</v>
      </c>
      <c r="S22" s="14"/>
      <c r="T22" s="14">
        <f t="shared" si="3"/>
        <v>13.18417129884554</v>
      </c>
      <c r="U22" s="14">
        <f t="shared" si="3"/>
        <v>9.6374560720441647</v>
      </c>
      <c r="V22" s="14">
        <f t="shared" si="3"/>
        <v>11.604025887074886</v>
      </c>
      <c r="W22" s="14">
        <f t="shared" si="3"/>
        <v>3.5467152268013744</v>
      </c>
      <c r="X22" s="14">
        <f t="shared" si="3"/>
        <v>18.207691889158394</v>
      </c>
      <c r="Y22" s="14"/>
      <c r="Z22" s="14"/>
      <c r="AA22" s="14"/>
      <c r="AB22" s="14"/>
      <c r="AC22" s="14"/>
      <c r="AD22" s="14">
        <f t="shared" si="4"/>
        <v>-3.2375020894903628E-4</v>
      </c>
      <c r="AE22" s="14">
        <f t="shared" si="5"/>
        <v>1.0092241367825494E-2</v>
      </c>
      <c r="AF22" s="14">
        <f t="shared" si="13"/>
        <v>-5.0244667937168863E-2</v>
      </c>
      <c r="AG22" s="14"/>
      <c r="AH22" s="14">
        <f t="shared" si="14"/>
        <v>-2.6491743366197085E-2</v>
      </c>
      <c r="AI22" s="14">
        <f t="shared" si="15"/>
        <v>3.5388175683129575E-2</v>
      </c>
      <c r="AJ22" s="14">
        <f t="shared" si="16"/>
        <v>8.6108659060388781E-3</v>
      </c>
      <c r="AK22" s="14">
        <f t="shared" si="29"/>
        <v>-5.5632536995165793E-2</v>
      </c>
      <c r="AL22" s="14"/>
      <c r="AM22" s="14">
        <f t="shared" si="17"/>
        <v>-3.2768273171489962E-2</v>
      </c>
      <c r="AN22" s="14">
        <f t="shared" si="30"/>
        <v>2.4559559826265932E-2</v>
      </c>
      <c r="AO22" s="14">
        <f t="shared" si="18"/>
        <v>7.551453851887103E-3</v>
      </c>
      <c r="AP22" s="14">
        <f t="shared" si="31"/>
        <v>-5.5763996680085366E-2</v>
      </c>
      <c r="AQ22" s="15">
        <f t="shared" si="32"/>
        <v>6.2880031384682181E-3</v>
      </c>
      <c r="AR22" s="15">
        <f t="shared" si="19"/>
        <v>4.0408216565500478E-3</v>
      </c>
      <c r="AS22" s="15">
        <f t="shared" si="33"/>
        <v>7.8086330380931759E-3</v>
      </c>
      <c r="AT22" s="14">
        <f t="shared" si="20"/>
        <v>0</v>
      </c>
      <c r="AU22" s="14">
        <f t="shared" si="20"/>
        <v>0</v>
      </c>
      <c r="AV22" s="14">
        <f t="shared" si="20"/>
        <v>0</v>
      </c>
      <c r="AW22" s="14"/>
      <c r="AX22" s="15">
        <f t="shared" si="34"/>
        <v>-1.8928816181134643E-2</v>
      </c>
      <c r="AY22" s="15">
        <f t="shared" si="21"/>
        <v>2.8600381482815979E-2</v>
      </c>
      <c r="AZ22" s="15">
        <f t="shared" si="35"/>
        <v>-4.7955363641992189E-2</v>
      </c>
      <c r="BA22" s="16"/>
      <c r="BB22" s="15">
        <f t="shared" si="36"/>
        <v>5.1435514969876625E-3</v>
      </c>
      <c r="BC22" s="15">
        <f t="shared" si="22"/>
        <v>2.2534714306527075E-2</v>
      </c>
      <c r="BD22" s="15">
        <f t="shared" si="37"/>
        <v>-2.7267907054796613E-2</v>
      </c>
      <c r="BE22" s="16"/>
      <c r="BF22" s="16">
        <f t="shared" si="23"/>
        <v>-2.614391542459249</v>
      </c>
      <c r="BG22" s="16">
        <f t="shared" si="24"/>
        <v>3.6021789221421407</v>
      </c>
      <c r="BH22" s="16">
        <f t="shared" si="25"/>
        <v>0.86480460529962944</v>
      </c>
      <c r="BI22" s="16">
        <f t="shared" si="38"/>
        <v>-5.4113349612090023</v>
      </c>
      <c r="BK22" s="17">
        <f t="shared" si="6"/>
        <v>12.736080365867677</v>
      </c>
      <c r="BL22" s="17">
        <f t="shared" si="7"/>
        <v>11.630317348581068</v>
      </c>
      <c r="BM22" s="17">
        <f t="shared" si="26"/>
        <v>9.9832703956785718</v>
      </c>
      <c r="BN22" s="18">
        <f t="shared" si="27"/>
        <v>339789.0849999999</v>
      </c>
      <c r="BO22" s="18">
        <f t="shared" si="27"/>
        <v>112456.00399999994</v>
      </c>
      <c r="BP22" s="18">
        <f t="shared" si="27"/>
        <v>21661.037000000015</v>
      </c>
      <c r="BQ22" s="18">
        <f t="shared" si="39"/>
        <v>473906.12599999987</v>
      </c>
      <c r="BS22" s="14"/>
      <c r="BT22" s="14"/>
      <c r="BU22" s="14"/>
      <c r="BW22" s="18"/>
      <c r="BX22" s="18"/>
      <c r="BZ22" s="18"/>
      <c r="CA22" s="18"/>
      <c r="CC22" s="18"/>
      <c r="CD22" s="18"/>
      <c r="CF22" s="19">
        <v>15.882337715468402</v>
      </c>
      <c r="CG22" s="19">
        <v>6.51233703804734</v>
      </c>
      <c r="CH22" s="19">
        <v>0.32</v>
      </c>
      <c r="CI22" s="19">
        <f t="shared" si="8"/>
        <v>12.947559854586046</v>
      </c>
      <c r="CK22" s="22">
        <f t="shared" si="9"/>
        <v>53966.449999999975</v>
      </c>
      <c r="CL22" s="22">
        <f t="shared" si="10"/>
        <v>7323.5139999999947</v>
      </c>
      <c r="CM22" s="22">
        <f t="shared" si="40"/>
        <v>69.315318400000052</v>
      </c>
      <c r="CN22" s="22"/>
      <c r="CO22" s="44"/>
      <c r="CP22" s="44"/>
      <c r="CQ22" s="22"/>
      <c r="CR22" s="44"/>
      <c r="CS22" s="44"/>
      <c r="CT22" s="22"/>
      <c r="CU22" s="44"/>
      <c r="CV22" s="44"/>
      <c r="CW22" s="44">
        <v>481.25562626999994</v>
      </c>
      <c r="CX22" s="44">
        <v>9.6815405200000004</v>
      </c>
      <c r="CZ22" s="22">
        <f t="shared" si="11"/>
        <v>61850.216485189972</v>
      </c>
      <c r="DA22" s="44"/>
      <c r="DB22" s="44"/>
      <c r="DC22" s="105"/>
      <c r="DD22" s="86">
        <f t="shared" si="41"/>
        <v>-0.16913182246110686</v>
      </c>
      <c r="DE22" s="86">
        <f t="shared" si="42"/>
        <v>0.73528789326836008</v>
      </c>
      <c r="DF22" s="86">
        <f t="shared" si="43"/>
        <v>0.5649124649930295</v>
      </c>
    </row>
    <row r="23" spans="1:110" x14ac:dyDescent="0.15">
      <c r="A23" s="12">
        <f t="shared" si="28"/>
        <v>2012</v>
      </c>
      <c r="B23" s="44">
        <v>317397.48199999996</v>
      </c>
      <c r="C23" s="44">
        <v>116000.689</v>
      </c>
      <c r="D23" s="44">
        <v>22581.239000000001</v>
      </c>
      <c r="E23" s="91">
        <v>1527</v>
      </c>
      <c r="F23" s="91">
        <v>76</v>
      </c>
      <c r="G23" s="91">
        <v>18079</v>
      </c>
      <c r="H23" s="90">
        <f t="shared" si="45"/>
        <v>475661.41</v>
      </c>
      <c r="I23" s="13"/>
      <c r="J23" s="14">
        <f t="shared" si="0"/>
        <v>12.667910153835669</v>
      </c>
      <c r="K23" s="14">
        <f t="shared" si="1"/>
        <v>11.661351409726034</v>
      </c>
      <c r="L23" s="14">
        <f t="shared" si="12"/>
        <v>10.024874707766022</v>
      </c>
      <c r="M23" s="12"/>
      <c r="N23" s="44">
        <v>501909</v>
      </c>
      <c r="O23" s="44">
        <v>14551.400000000001</v>
      </c>
      <c r="P23" s="44">
        <v>114824.22</v>
      </c>
      <c r="Q23" s="44">
        <f t="shared" si="2"/>
        <v>34.492145085696215</v>
      </c>
      <c r="R23" s="44">
        <v>84319470.648333341</v>
      </c>
      <c r="S23" s="14"/>
      <c r="T23" s="14">
        <f t="shared" si="3"/>
        <v>13.126174107341187</v>
      </c>
      <c r="U23" s="14">
        <f t="shared" si="3"/>
        <v>9.5854424879020694</v>
      </c>
      <c r="V23" s="14">
        <f t="shared" si="3"/>
        <v>11.651157716225136</v>
      </c>
      <c r="W23" s="14">
        <f t="shared" si="3"/>
        <v>3.5407316194391178</v>
      </c>
      <c r="X23" s="14">
        <f t="shared" si="3"/>
        <v>18.250123364847834</v>
      </c>
      <c r="Y23" s="14"/>
      <c r="Z23" s="14"/>
      <c r="AA23" s="14"/>
      <c r="AB23" s="14"/>
      <c r="AC23" s="14"/>
      <c r="AD23" s="14">
        <f t="shared" si="4"/>
        <v>2.385286540487197E-3</v>
      </c>
      <c r="AE23" s="14">
        <f t="shared" si="5"/>
        <v>-6.0713226709516732E-3</v>
      </c>
      <c r="AF23" s="14">
        <f t="shared" si="13"/>
        <v>-4.9762099179052832E-2</v>
      </c>
      <c r="AG23" s="14"/>
      <c r="AH23" s="14">
        <f t="shared" si="14"/>
        <v>-5.2013584142095226E-2</v>
      </c>
      <c r="AI23" s="14">
        <f t="shared" si="15"/>
        <v>4.713182915024916E-2</v>
      </c>
      <c r="AJ23" s="14">
        <f t="shared" si="16"/>
        <v>-5.98360736225656E-3</v>
      </c>
      <c r="AK23" s="14">
        <f t="shared" si="29"/>
        <v>4.243147568944039E-2</v>
      </c>
      <c r="AL23" s="14"/>
      <c r="AM23" s="14">
        <f t="shared" si="17"/>
        <v>-6.4336850551376987E-2</v>
      </c>
      <c r="AN23" s="14">
        <f t="shared" si="30"/>
        <v>1.252900665973361E-2</v>
      </c>
      <c r="AO23" s="14">
        <f t="shared" si="18"/>
        <v>-5.2474321812634103E-3</v>
      </c>
      <c r="AP23" s="14">
        <f t="shared" si="31"/>
        <v>4.2531741266494533E-2</v>
      </c>
      <c r="AQ23" s="15">
        <f t="shared" si="32"/>
        <v>1.6511746281714274E-4</v>
      </c>
      <c r="AR23" s="15">
        <f t="shared" si="19"/>
        <v>-7.275456433099927E-3</v>
      </c>
      <c r="AS23" s="15">
        <f t="shared" si="33"/>
        <v>1.3558624132180891E-2</v>
      </c>
      <c r="AT23" s="14">
        <f t="shared" ref="AT23:AV29" si="46">+AT21</f>
        <v>0</v>
      </c>
      <c r="AU23" s="14">
        <f t="shared" si="46"/>
        <v>0</v>
      </c>
      <c r="AV23" s="14">
        <f t="shared" si="46"/>
        <v>0</v>
      </c>
      <c r="AW23" s="14"/>
      <c r="AX23" s="15">
        <f t="shared" si="34"/>
        <v>-6.9419165269823252E-2</v>
      </c>
      <c r="AY23" s="15">
        <f t="shared" si="21"/>
        <v>5.2535502266336832E-3</v>
      </c>
      <c r="AZ23" s="15">
        <f t="shared" si="35"/>
        <v>5.6090365398675422E-2</v>
      </c>
      <c r="BA23" s="16"/>
      <c r="BB23" s="15">
        <f t="shared" si="36"/>
        <v>1.2489532378150148E-3</v>
      </c>
      <c r="BC23" s="15">
        <f t="shared" si="22"/>
        <v>2.5780510918332746E-2</v>
      </c>
      <c r="BD23" s="15">
        <f t="shared" si="37"/>
        <v>-1.4486053311224899E-2</v>
      </c>
      <c r="BE23" s="16"/>
      <c r="BF23" s="16">
        <f t="shared" si="23"/>
        <v>-5.0684028887743482</v>
      </c>
      <c r="BG23" s="16">
        <f t="shared" si="24"/>
        <v>4.8260191221485949</v>
      </c>
      <c r="BH23" s="16">
        <f t="shared" si="25"/>
        <v>-0.59657412361133755</v>
      </c>
      <c r="BI23" s="16">
        <f t="shared" si="38"/>
        <v>4.3344559457456633</v>
      </c>
      <c r="BK23" s="17">
        <f t="shared" si="6"/>
        <v>12.667910153835669</v>
      </c>
      <c r="BL23" s="17">
        <f t="shared" si="7"/>
        <v>11.661351409726034</v>
      </c>
      <c r="BM23" s="17">
        <f t="shared" si="26"/>
        <v>10.024874707766022</v>
      </c>
      <c r="BN23" s="18">
        <f t="shared" si="27"/>
        <v>317397.48200000013</v>
      </c>
      <c r="BO23" s="18">
        <f t="shared" si="27"/>
        <v>116000.68899999998</v>
      </c>
      <c r="BP23" s="18">
        <f t="shared" si="27"/>
        <v>22581.23899999999</v>
      </c>
      <c r="BQ23" s="18">
        <f t="shared" si="39"/>
        <v>455979.41000000009</v>
      </c>
      <c r="BS23" s="14"/>
      <c r="BT23" s="14"/>
      <c r="BU23" s="14"/>
      <c r="BW23" s="18"/>
      <c r="BX23" s="18"/>
      <c r="BZ23" s="18"/>
      <c r="CA23" s="18"/>
      <c r="CC23" s="18"/>
      <c r="CD23" s="18"/>
      <c r="CF23" s="19">
        <v>16.594653703018352</v>
      </c>
      <c r="CG23" s="19">
        <v>7.0297160045316627</v>
      </c>
      <c r="CH23" s="19">
        <v>0.41</v>
      </c>
      <c r="CI23" s="19">
        <f t="shared" si="8"/>
        <v>13.359839006743753</v>
      </c>
      <c r="CK23" s="22">
        <f t="shared" si="9"/>
        <v>52671.013000000028</v>
      </c>
      <c r="CL23" s="22">
        <f t="shared" si="10"/>
        <v>8154.5189999999993</v>
      </c>
      <c r="CM23" s="22">
        <f t="shared" si="40"/>
        <v>92.583079899999959</v>
      </c>
      <c r="CN23" s="22"/>
      <c r="CO23" s="44"/>
      <c r="CP23" s="44"/>
      <c r="CQ23" s="22"/>
      <c r="CR23" s="44"/>
      <c r="CS23" s="44"/>
      <c r="CT23" s="22"/>
      <c r="CU23" s="44"/>
      <c r="CV23" s="44"/>
      <c r="CW23" s="44">
        <v>586.96691599999986</v>
      </c>
      <c r="CX23" s="44">
        <v>14.504586</v>
      </c>
      <c r="CZ23" s="22">
        <f t="shared" si="11"/>
        <v>61519.586581900032</v>
      </c>
      <c r="DA23" s="44"/>
      <c r="DB23" s="44"/>
      <c r="DC23" s="105"/>
      <c r="DD23" s="86">
        <f t="shared" si="41"/>
        <v>-3.7827567563454694</v>
      </c>
      <c r="DE23" s="86">
        <f t="shared" si="42"/>
        <v>3.1842227940091492</v>
      </c>
      <c r="DF23" s="86">
        <f t="shared" si="43"/>
        <v>-0.7189853652137711</v>
      </c>
    </row>
    <row r="24" spans="1:110" ht="11.25" thickBot="1" x14ac:dyDescent="0.2">
      <c r="A24" s="12">
        <f t="shared" si="28"/>
        <v>2013</v>
      </c>
      <c r="B24" s="44">
        <v>308695.72100000002</v>
      </c>
      <c r="C24" s="44">
        <v>120145.386</v>
      </c>
      <c r="D24" s="44">
        <v>22114</v>
      </c>
      <c r="E24" s="91">
        <v>1674</v>
      </c>
      <c r="F24" s="91">
        <v>62</v>
      </c>
      <c r="G24" s="91">
        <v>17496</v>
      </c>
      <c r="H24" s="90">
        <f t="shared" si="45"/>
        <v>470187.10700000002</v>
      </c>
      <c r="I24" s="13"/>
      <c r="J24" s="14">
        <f t="shared" si="0"/>
        <v>12.640111349040115</v>
      </c>
      <c r="K24" s="14">
        <f t="shared" si="1"/>
        <v>11.696457838429737</v>
      </c>
      <c r="L24" s="14">
        <f t="shared" si="12"/>
        <v>10.003966171102347</v>
      </c>
      <c r="M24" s="12"/>
      <c r="N24" s="44">
        <v>490253</v>
      </c>
      <c r="O24" s="44">
        <v>13980.2</v>
      </c>
      <c r="P24" s="44">
        <v>120141.23999999999</v>
      </c>
      <c r="Q24" s="44">
        <f t="shared" si="2"/>
        <v>35.067667129225619</v>
      </c>
      <c r="R24" s="44">
        <v>80224291</v>
      </c>
      <c r="S24" s="14"/>
      <c r="T24" s="14">
        <f t="shared" si="3"/>
        <v>13.102676863366744</v>
      </c>
      <c r="U24" s="14">
        <f t="shared" si="3"/>
        <v>9.5453973218371146</v>
      </c>
      <c r="V24" s="14">
        <f t="shared" si="3"/>
        <v>11.696423329642714</v>
      </c>
      <c r="W24" s="14">
        <f t="shared" si="3"/>
        <v>3.5572795415296294</v>
      </c>
      <c r="X24" s="14">
        <f t="shared" si="3"/>
        <v>18.200336907277016</v>
      </c>
      <c r="Y24" s="14"/>
      <c r="Z24" s="14"/>
      <c r="AA24" s="14"/>
      <c r="AB24" s="14"/>
      <c r="AC24" s="14"/>
      <c r="AD24" s="14">
        <f t="shared" si="4"/>
        <v>1.0448604132067274E-2</v>
      </c>
      <c r="AE24" s="14">
        <f t="shared" si="5"/>
        <v>-1.6293698181158334E-2</v>
      </c>
      <c r="AF24" s="14">
        <f t="shared" si="13"/>
        <v>-2.2420936857749929E-2</v>
      </c>
      <c r="AG24" s="14"/>
      <c r="AH24" s="14">
        <f t="shared" si="14"/>
        <v>-4.0045166064954785E-2</v>
      </c>
      <c r="AI24" s="14">
        <f t="shared" si="15"/>
        <v>4.5265613417578621E-2</v>
      </c>
      <c r="AJ24" s="14">
        <f t="shared" si="16"/>
        <v>1.6547922090511591E-2</v>
      </c>
      <c r="AK24" s="14">
        <f t="shared" si="29"/>
        <v>-4.9786457570817788E-2</v>
      </c>
      <c r="AL24" s="14"/>
      <c r="AM24" s="14">
        <f t="shared" si="17"/>
        <v>-4.9532826989728128E-2</v>
      </c>
      <c r="AN24" s="14">
        <f t="shared" si="30"/>
        <v>1.6686788451499963E-2</v>
      </c>
      <c r="AO24" s="14">
        <f t="shared" si="18"/>
        <v>1.4511998139871769E-2</v>
      </c>
      <c r="AP24" s="14">
        <f t="shared" si="31"/>
        <v>-4.9904102970057623E-2</v>
      </c>
      <c r="AQ24" s="15">
        <f t="shared" si="32"/>
        <v>-1.2165319149465778E-3</v>
      </c>
      <c r="AR24" s="15">
        <f t="shared" si="19"/>
        <v>4.3767922281983769E-3</v>
      </c>
      <c r="AS24" s="15">
        <f t="shared" si="33"/>
        <v>1.3428401987665765E-2</v>
      </c>
      <c r="AT24" s="14">
        <f t="shared" si="46"/>
        <v>0</v>
      </c>
      <c r="AU24" s="14">
        <f t="shared" si="46"/>
        <v>0</v>
      </c>
      <c r="AV24" s="14">
        <f t="shared" si="46"/>
        <v>0</v>
      </c>
      <c r="AW24" s="14"/>
      <c r="AX24" s="15">
        <f>+AM24+AO24+AQ24+AT24</f>
        <v>-3.6237360764802933E-2</v>
      </c>
      <c r="AY24" s="15">
        <f t="shared" si="21"/>
        <v>2.1063580679698341E-2</v>
      </c>
      <c r="AZ24" s="15">
        <f t="shared" si="35"/>
        <v>-3.6475700982391862E-2</v>
      </c>
      <c r="BA24" s="16"/>
      <c r="BB24" s="15">
        <f t="shared" si="36"/>
        <v>8.4385559692494103E-3</v>
      </c>
      <c r="BC24" s="15">
        <f t="shared" si="22"/>
        <v>1.4042848024004278E-2</v>
      </c>
      <c r="BD24" s="15">
        <f t="shared" si="37"/>
        <v>1.5567164318716215E-2</v>
      </c>
      <c r="BE24" s="16"/>
      <c r="BF24" s="16">
        <f t="shared" si="23"/>
        <v>-3.9253954945915881</v>
      </c>
      <c r="BG24" s="16">
        <f t="shared" si="24"/>
        <v>4.6305735845625584</v>
      </c>
      <c r="BH24" s="16">
        <f t="shared" si="25"/>
        <v>1.6685597317867895</v>
      </c>
      <c r="BI24" s="16">
        <f t="shared" si="38"/>
        <v>-4.8567425967519284</v>
      </c>
      <c r="BK24" s="17">
        <f t="shared" si="6"/>
        <v>12.640111349040115</v>
      </c>
      <c r="BL24" s="17">
        <f t="shared" si="7"/>
        <v>11.696457838429737</v>
      </c>
      <c r="BM24" s="17">
        <f t="shared" si="26"/>
        <v>10.003966171102347</v>
      </c>
      <c r="BN24" s="18">
        <f t="shared" si="27"/>
        <v>308695.72099999979</v>
      </c>
      <c r="BO24" s="18">
        <f t="shared" si="27"/>
        <v>120145.38600000007</v>
      </c>
      <c r="BP24" s="18">
        <f t="shared" si="27"/>
        <v>22113.999999999989</v>
      </c>
      <c r="BQ24" s="18">
        <f t="shared" si="39"/>
        <v>450955.10699999984</v>
      </c>
      <c r="BS24" s="14"/>
      <c r="BT24" s="14"/>
      <c r="BU24" s="14"/>
      <c r="BW24" s="18">
        <f>BK24</f>
        <v>12.640111349040115</v>
      </c>
      <c r="BX24" s="18">
        <f>BK24</f>
        <v>12.640111349040115</v>
      </c>
      <c r="BZ24" s="18">
        <f>BN24</f>
        <v>308695.72099999979</v>
      </c>
      <c r="CA24" s="18">
        <f>BN24</f>
        <v>308695.72099999979</v>
      </c>
      <c r="CC24" s="18" t="e">
        <f>#REF!</f>
        <v>#REF!</v>
      </c>
      <c r="CD24" s="18" t="e">
        <f>#REF!</f>
        <v>#REF!</v>
      </c>
      <c r="CF24" s="19">
        <v>16.744492872319402</v>
      </c>
      <c r="CG24" s="19">
        <v>7.3623426537578389</v>
      </c>
      <c r="CH24" s="19">
        <v>0.41</v>
      </c>
      <c r="CI24" s="19">
        <f t="shared" si="8"/>
        <v>13.443847172131029</v>
      </c>
      <c r="CK24" s="22">
        <f t="shared" si="9"/>
        <v>51689.532999999952</v>
      </c>
      <c r="CL24" s="22">
        <f t="shared" si="10"/>
        <v>8845.5150000000049</v>
      </c>
      <c r="CM24" s="22">
        <f t="shared" si="40"/>
        <v>90.667399999999944</v>
      </c>
      <c r="CN24" s="22"/>
      <c r="CO24" s="22">
        <f t="shared" ref="CO24:CO29" si="47">+CF24*BW24/100</f>
        <v>2.1165225438932578</v>
      </c>
      <c r="CP24" s="22">
        <f t="shared" ref="CP24:CP29" si="48">+CF24*BX24/100</f>
        <v>2.1165225438932578</v>
      </c>
      <c r="CQ24" s="22"/>
      <c r="CR24" s="22">
        <f t="shared" ref="CR24:CR29" si="49">+CG24*BZ24/100</f>
        <v>22727.236737508279</v>
      </c>
      <c r="CS24" s="22">
        <f t="shared" ref="CS24:CS29" si="50">+CG24*CA24/100</f>
        <v>22727.236737508279</v>
      </c>
      <c r="CT24" s="22"/>
      <c r="CU24" s="22" t="e">
        <f t="shared" ref="CU24:CU29" si="51">+CH24*CC24/100</f>
        <v>#REF!</v>
      </c>
      <c r="CV24" s="22" t="e">
        <f t="shared" ref="CV24:CV29" si="52">+CH24*CD24/100</f>
        <v>#REF!</v>
      </c>
      <c r="CW24" s="22">
        <v>655.00000000000011</v>
      </c>
      <c r="CX24" s="22">
        <v>11.7</v>
      </c>
      <c r="CY24" s="105"/>
      <c r="CZ24" s="22">
        <f t="shared" si="11"/>
        <v>61292.415399999954</v>
      </c>
      <c r="DA24" s="44" t="e">
        <f t="shared" ref="DA24:DB29" si="53">+CO24+CR24+CU24</f>
        <v>#REF!</v>
      </c>
      <c r="DB24" s="44" t="e">
        <f t="shared" si="53"/>
        <v>#REF!</v>
      </c>
      <c r="DC24" s="105"/>
      <c r="DD24" s="86">
        <f t="shared" si="41"/>
        <v>-1.1018705866565239</v>
      </c>
      <c r="DE24" s="86">
        <f t="shared" si="42"/>
        <v>0.62881121056077627</v>
      </c>
      <c r="DF24" s="86">
        <f t="shared" si="43"/>
        <v>-0.47998806187053494</v>
      </c>
    </row>
    <row r="25" spans="1:110" s="105" customFormat="1" x14ac:dyDescent="0.15">
      <c r="A25" s="124">
        <f>A24+1</f>
        <v>2014</v>
      </c>
      <c r="B25" s="113">
        <f>+BN25</f>
        <v>315191.0480598865</v>
      </c>
      <c r="C25" s="113">
        <f>+BO25</f>
        <v>123528.84423961767</v>
      </c>
      <c r="D25" s="113">
        <f t="shared" ref="B25:D29" si="54">+BP25</f>
        <v>22748.966929752376</v>
      </c>
      <c r="E25" s="121"/>
      <c r="F25" s="122"/>
      <c r="G25" s="122"/>
      <c r="H25" s="123"/>
      <c r="I25" s="124"/>
      <c r="J25" s="118"/>
      <c r="K25" s="118"/>
      <c r="L25" s="118"/>
      <c r="M25" s="124"/>
      <c r="N25" s="113"/>
      <c r="O25" s="125">
        <f t="shared" ref="O25:R29" si="55">O24*(1+BF25/100)</f>
        <v>14203.668138653969</v>
      </c>
      <c r="P25" s="125">
        <f t="shared" si="55"/>
        <v>126220.95110362962</v>
      </c>
      <c r="Q25" s="125">
        <f t="shared" si="55"/>
        <v>35.330018581480033</v>
      </c>
      <c r="R25" s="125">
        <f t="shared" si="55"/>
        <v>82025681.262803495</v>
      </c>
      <c r="S25" s="118"/>
      <c r="T25" s="115"/>
      <c r="U25" s="115">
        <f t="shared" ref="U25:X29" si="56">LN(O25)</f>
        <v>9.5612555298541011</v>
      </c>
      <c r="V25" s="115">
        <f t="shared" si="56"/>
        <v>11.745789230394498</v>
      </c>
      <c r="W25" s="115">
        <f t="shared" si="56"/>
        <v>3.5647329873114768</v>
      </c>
      <c r="X25" s="115">
        <f t="shared" si="56"/>
        <v>18.222542942327738</v>
      </c>
      <c r="Y25" s="118"/>
      <c r="Z25" s="115"/>
      <c r="AA25" s="115"/>
      <c r="AB25" s="115"/>
      <c r="AC25" s="115"/>
      <c r="AD25" s="115">
        <f t="shared" si="4"/>
        <v>4.6834120318872685E-3</v>
      </c>
      <c r="AE25" s="126">
        <f t="shared" si="5"/>
        <v>-3.7956387783960821E-2</v>
      </c>
      <c r="AF25" s="115">
        <f t="shared" si="13"/>
        <v>-1.5632695660078078E-2</v>
      </c>
      <c r="AG25" s="115"/>
      <c r="AH25" s="115">
        <f t="shared" si="14"/>
        <v>1.5858208016986453E-2</v>
      </c>
      <c r="AI25" s="115">
        <f t="shared" si="15"/>
        <v>4.9365900751784153E-2</v>
      </c>
      <c r="AJ25" s="115">
        <f t="shared" si="16"/>
        <v>7.4534457818473676E-3</v>
      </c>
      <c r="AK25" s="115">
        <f t="shared" si="29"/>
        <v>2.2206035050722051E-2</v>
      </c>
      <c r="AL25" s="115"/>
      <c r="AM25" s="115">
        <f t="shared" si="17"/>
        <v>1.9615398093202948E-2</v>
      </c>
      <c r="AN25" s="115">
        <f t="shared" si="30"/>
        <v>1.6026064102426622E-2</v>
      </c>
      <c r="AO25" s="115">
        <f t="shared" si="18"/>
        <v>6.5364334404151223E-3</v>
      </c>
      <c r="AP25" s="115">
        <f t="shared" si="31"/>
        <v>2.2258507911546904E-2</v>
      </c>
      <c r="AQ25" s="115">
        <f t="shared" si="32"/>
        <v>-5.3289448364162908E-3</v>
      </c>
      <c r="AR25" s="115">
        <f t="shared" si="19"/>
        <v>1.1746061844004318E-2</v>
      </c>
      <c r="AS25" s="115">
        <f t="shared" si="33"/>
        <v>6.0503346529375331E-3</v>
      </c>
      <c r="AT25" s="115">
        <f t="shared" si="46"/>
        <v>0</v>
      </c>
      <c r="AU25" s="115">
        <f t="shared" si="46"/>
        <v>0</v>
      </c>
      <c r="AV25" s="115">
        <f t="shared" si="46"/>
        <v>0</v>
      </c>
      <c r="AW25" s="115"/>
      <c r="AX25" s="115">
        <f t="shared" si="34"/>
        <v>2.0822886697201781E-2</v>
      </c>
      <c r="AY25" s="115">
        <f t="shared" si="21"/>
        <v>2.7772125946430942E-2</v>
      </c>
      <c r="AZ25" s="115">
        <f>+AP25+AS25+AV25</f>
        <v>2.8308842564484439E-2</v>
      </c>
      <c r="BA25" s="118"/>
      <c r="BB25" s="115"/>
      <c r="BC25" s="115"/>
      <c r="BD25" s="115"/>
      <c r="BE25" s="118"/>
      <c r="BF25" s="127">
        <f>Resultados_trabajo!C6</f>
        <v>1.5984616718928899</v>
      </c>
      <c r="BG25" s="127">
        <f>Resultados_trabajo!D6</f>
        <v>5.0604697467993622</v>
      </c>
      <c r="BH25" s="127">
        <f>Resultados_trabajo!E6</f>
        <v>0.74812918489171043</v>
      </c>
      <c r="BI25" s="127">
        <f>Resultados_trabajo!F6</f>
        <v>2.2454424219261635</v>
      </c>
      <c r="BJ25" s="118"/>
      <c r="BK25" s="128">
        <f t="shared" ref="BK25:BM29" si="57">BK24+AX25</f>
        <v>12.660934235737317</v>
      </c>
      <c r="BL25" s="128">
        <f t="shared" si="57"/>
        <v>11.724229964376168</v>
      </c>
      <c r="BM25" s="128">
        <f t="shared" si="57"/>
        <v>10.032275013666831</v>
      </c>
      <c r="BN25" s="114">
        <f t="shared" si="27"/>
        <v>315191.0480598865</v>
      </c>
      <c r="BO25" s="114">
        <f>+EXP(BL25)</f>
        <v>123528.84423961767</v>
      </c>
      <c r="BP25" s="114">
        <f t="shared" si="27"/>
        <v>22748.966929752376</v>
      </c>
      <c r="BQ25" s="114">
        <f t="shared" si="39"/>
        <v>461468.85922925652</v>
      </c>
      <c r="BR25" s="118"/>
      <c r="BS25" s="114">
        <v>7741.7766943010802</v>
      </c>
      <c r="BT25" s="114">
        <v>7741.7766943010802</v>
      </c>
      <c r="BU25" s="114">
        <v>7741.7766943010802</v>
      </c>
      <c r="BV25" s="118"/>
      <c r="BW25" s="114">
        <f>BK25-BS25</f>
        <v>-7729.1157600653432</v>
      </c>
      <c r="BX25" s="114">
        <f>BK25+BS25</f>
        <v>7754.4376285368171</v>
      </c>
      <c r="BY25" s="118"/>
      <c r="BZ25" s="114">
        <f>BN25-BV25</f>
        <v>315191.0480598865</v>
      </c>
      <c r="CA25" s="114">
        <f>BN25+BV25</f>
        <v>315191.0480598865</v>
      </c>
      <c r="CB25" s="118"/>
      <c r="CC25" s="114" t="e">
        <f>#REF!-BY25</f>
        <v>#REF!</v>
      </c>
      <c r="CD25" s="114" t="e">
        <f>#REF!+BY25</f>
        <v>#REF!</v>
      </c>
      <c r="CE25" s="118"/>
      <c r="CF25" s="116">
        <f>+Resultados_trabajo!G6</f>
        <v>18</v>
      </c>
      <c r="CG25" s="116">
        <f>+Resultados_trabajo!H6</f>
        <v>6.9681318987789469</v>
      </c>
      <c r="CH25" s="116">
        <f>+Resultados_trabajo!I6</f>
        <v>0.37999999999999995</v>
      </c>
      <c r="CI25" s="116">
        <f t="shared" si="8"/>
        <v>14.178310457187685</v>
      </c>
      <c r="CJ25" s="118"/>
      <c r="CK25" s="114">
        <f t="shared" si="9"/>
        <v>56734.388650779569</v>
      </c>
      <c r="CL25" s="114">
        <f t="shared" si="10"/>
        <v>8607.6527996537588</v>
      </c>
      <c r="CM25" s="114">
        <f t="shared" si="40"/>
        <v>86.446074333059016</v>
      </c>
      <c r="CN25" s="114"/>
      <c r="CO25" s="114">
        <f t="shared" si="47"/>
        <v>-1391.2408368117619</v>
      </c>
      <c r="CP25" s="114">
        <f t="shared" si="48"/>
        <v>1395.798773136627</v>
      </c>
      <c r="CQ25" s="114"/>
      <c r="CR25" s="114">
        <f t="shared" si="49"/>
        <v>21962.92796195663</v>
      </c>
      <c r="CS25" s="114">
        <f t="shared" si="50"/>
        <v>21962.92796195663</v>
      </c>
      <c r="CT25" s="114"/>
      <c r="CU25" s="114" t="e">
        <f t="shared" si="51"/>
        <v>#REF!</v>
      </c>
      <c r="CV25" s="114" t="e">
        <f t="shared" si="52"/>
        <v>#REF!</v>
      </c>
      <c r="CW25" s="117">
        <f>+AVERAGE(CW20:CW24)</f>
        <v>538.40012458399997</v>
      </c>
      <c r="CX25" s="117">
        <f t="shared" ref="CX25:CX29" si="58">+AVERAGE(CX20:CX24)</f>
        <v>11.784624478000001</v>
      </c>
      <c r="CY25" s="118"/>
      <c r="CZ25" s="114">
        <f t="shared" si="11"/>
        <v>65978.672273828386</v>
      </c>
      <c r="DA25" s="114" t="e">
        <f t="shared" si="53"/>
        <v>#REF!</v>
      </c>
      <c r="DB25" s="114" t="e">
        <f t="shared" si="53"/>
        <v>#REF!</v>
      </c>
      <c r="DC25" s="118"/>
      <c r="DD25" s="119">
        <f t="shared" si="41"/>
        <v>2.3314409940270391</v>
      </c>
      <c r="DE25" s="119">
        <f t="shared" si="42"/>
        <v>5.4631927576444861</v>
      </c>
      <c r="DF25" s="119">
        <f t="shared" si="43"/>
        <v>7.9220048672059606</v>
      </c>
    </row>
    <row r="26" spans="1:110" s="105" customFormat="1" x14ac:dyDescent="0.15">
      <c r="A26" s="124">
        <f t="shared" si="28"/>
        <v>2015</v>
      </c>
      <c r="B26" s="113">
        <f t="shared" si="54"/>
        <v>321662.31056234264</v>
      </c>
      <c r="C26" s="113">
        <f t="shared" si="54"/>
        <v>129193.98620362373</v>
      </c>
      <c r="D26" s="113">
        <f t="shared" si="54"/>
        <v>22633.998640125013</v>
      </c>
      <c r="E26" s="121"/>
      <c r="F26" s="122"/>
      <c r="G26" s="122"/>
      <c r="H26" s="123"/>
      <c r="I26" s="124"/>
      <c r="J26" s="118"/>
      <c r="K26" s="118"/>
      <c r="L26" s="118"/>
      <c r="M26" s="124"/>
      <c r="N26" s="113"/>
      <c r="O26" s="125">
        <f t="shared" si="55"/>
        <v>14398.424754580938</v>
      </c>
      <c r="P26" s="125">
        <f t="shared" si="55"/>
        <v>131938.52080290738</v>
      </c>
      <c r="Q26" s="125">
        <f t="shared" si="55"/>
        <v>35.567164212065215</v>
      </c>
      <c r="R26" s="125">
        <f t="shared" si="55"/>
        <v>81269367.736046597</v>
      </c>
      <c r="S26" s="118"/>
      <c r="T26" s="115"/>
      <c r="U26" s="115">
        <f t="shared" si="56"/>
        <v>9.5748740875373564</v>
      </c>
      <c r="V26" s="115">
        <f t="shared" si="56"/>
        <v>11.790091341579465</v>
      </c>
      <c r="W26" s="115">
        <f t="shared" si="56"/>
        <v>3.5714228586344943</v>
      </c>
      <c r="X26" s="115">
        <f t="shared" si="56"/>
        <v>18.213279722903955</v>
      </c>
      <c r="Y26" s="118"/>
      <c r="Z26" s="115"/>
      <c r="AA26" s="115"/>
      <c r="AB26" s="115"/>
      <c r="AC26" s="115"/>
      <c r="AD26" s="115">
        <f t="shared" si="4"/>
        <v>1.9180378792236219E-3</v>
      </c>
      <c r="AE26" s="126">
        <f t="shared" si="5"/>
        <v>-3.7479986256570896E-2</v>
      </c>
      <c r="AF26" s="115">
        <f t="shared" si="13"/>
        <v>-1.1721998252267163E-2</v>
      </c>
      <c r="AG26" s="115"/>
      <c r="AH26" s="115">
        <f t="shared" si="14"/>
        <v>1.3618557683255261E-2</v>
      </c>
      <c r="AI26" s="115">
        <f t="shared" si="15"/>
        <v>4.4302111184967075E-2</v>
      </c>
      <c r="AJ26" s="115">
        <f t="shared" si="16"/>
        <v>6.68987132301746E-3</v>
      </c>
      <c r="AK26" s="115">
        <f t="shared" si="29"/>
        <v>-9.2632194237829424E-3</v>
      </c>
      <c r="AL26" s="115"/>
      <c r="AM26" s="115">
        <f t="shared" si="17"/>
        <v>1.6845120843802831E-2</v>
      </c>
      <c r="AN26" s="115">
        <f t="shared" si="30"/>
        <v>1.7477750331665421E-2</v>
      </c>
      <c r="AO26" s="115">
        <f t="shared" si="18"/>
        <v>5.8668030744039755E-3</v>
      </c>
      <c r="AP26" s="115">
        <f t="shared" si="31"/>
        <v>-9.2851084112813408E-3</v>
      </c>
      <c r="AQ26" s="115">
        <f t="shared" si="32"/>
        <v>-2.388610387442985E-3</v>
      </c>
      <c r="AR26" s="115">
        <f t="shared" si="19"/>
        <v>2.736260812790622E-2</v>
      </c>
      <c r="AS26" s="115">
        <f t="shared" si="33"/>
        <v>4.2185141892633893E-3</v>
      </c>
      <c r="AT26" s="115">
        <f t="shared" si="46"/>
        <v>0</v>
      </c>
      <c r="AU26" s="115">
        <f t="shared" si="46"/>
        <v>0</v>
      </c>
      <c r="AV26" s="115">
        <f t="shared" si="46"/>
        <v>0</v>
      </c>
      <c r="AW26" s="115"/>
      <c r="AX26" s="115">
        <f t="shared" si="34"/>
        <v>2.0323313530763824E-2</v>
      </c>
      <c r="AY26" s="115">
        <f t="shared" si="21"/>
        <v>4.4840358459571641E-2</v>
      </c>
      <c r="AZ26" s="115">
        <f t="shared" si="35"/>
        <v>-5.0665942220179516E-3</v>
      </c>
      <c r="BA26" s="118"/>
      <c r="BB26" s="115"/>
      <c r="BC26" s="115"/>
      <c r="BD26" s="115"/>
      <c r="BE26" s="118"/>
      <c r="BF26" s="41">
        <f>Resultados_trabajo!C7</f>
        <v>1.3711712638297731</v>
      </c>
      <c r="BG26" s="41">
        <f>Resultados_trabajo!D7</f>
        <v>4.5298103439131641</v>
      </c>
      <c r="BH26" s="41">
        <f>Resultados_trabajo!E7</f>
        <v>0.67122984959169796</v>
      </c>
      <c r="BI26" s="41">
        <f>Resultados_trabajo!F7</f>
        <v>-0.92204479757227598</v>
      </c>
      <c r="BJ26" s="129"/>
      <c r="BK26" s="128">
        <f t="shared" si="57"/>
        <v>12.68125754926808</v>
      </c>
      <c r="BL26" s="128">
        <f t="shared" si="57"/>
        <v>11.76907032283574</v>
      </c>
      <c r="BM26" s="128">
        <f t="shared" si="57"/>
        <v>10.027208419444813</v>
      </c>
      <c r="BN26" s="114">
        <f t="shared" si="27"/>
        <v>321662.31056234264</v>
      </c>
      <c r="BO26" s="114">
        <f t="shared" si="27"/>
        <v>129193.98620362373</v>
      </c>
      <c r="BP26" s="114">
        <f t="shared" si="27"/>
        <v>22633.998640125013</v>
      </c>
      <c r="BQ26" s="114">
        <f t="shared" si="39"/>
        <v>473490.29540609138</v>
      </c>
      <c r="BR26" s="118"/>
      <c r="BS26" s="114">
        <v>8898.1809606739607</v>
      </c>
      <c r="BT26" s="114">
        <v>8898.1809606739607</v>
      </c>
      <c r="BU26" s="114">
        <v>8898.1809606739607</v>
      </c>
      <c r="BV26" s="118"/>
      <c r="BW26" s="114">
        <f>BK26-BS26</f>
        <v>-8885.499703124693</v>
      </c>
      <c r="BX26" s="114">
        <f>BK26+BS26</f>
        <v>8910.8622182232284</v>
      </c>
      <c r="BY26" s="118"/>
      <c r="BZ26" s="114">
        <f>BN26-BV26</f>
        <v>321662.31056234264</v>
      </c>
      <c r="CA26" s="114">
        <f>BN26+BV26</f>
        <v>321662.31056234264</v>
      </c>
      <c r="CB26" s="118"/>
      <c r="CC26" s="114" t="e">
        <f>#REF!-BY26</f>
        <v>#REF!</v>
      </c>
      <c r="CD26" s="114" t="e">
        <f>#REF!+BY26</f>
        <v>#REF!</v>
      </c>
      <c r="CE26" s="118"/>
      <c r="CF26" s="116">
        <f>+Resultados_trabajo!G7</f>
        <v>18</v>
      </c>
      <c r="CG26" s="116">
        <f>+Resultados_trabajo!H7</f>
        <v>7.1200635190228168</v>
      </c>
      <c r="CH26" s="116">
        <f>+Resultados_trabajo!I7</f>
        <v>0.39999999999999997</v>
      </c>
      <c r="CI26" s="116">
        <f t="shared" si="8"/>
        <v>14.190036507213573</v>
      </c>
      <c r="CJ26" s="118"/>
      <c r="CK26" s="114">
        <f t="shared" si="9"/>
        <v>57899.215901221673</v>
      </c>
      <c r="CL26" s="114">
        <f t="shared" si="10"/>
        <v>9198.6938804555848</v>
      </c>
      <c r="CM26" s="114">
        <f t="shared" si="40"/>
        <v>90.535994560500043</v>
      </c>
      <c r="CN26" s="114"/>
      <c r="CO26" s="114">
        <f t="shared" si="47"/>
        <v>-1599.3899465624447</v>
      </c>
      <c r="CP26" s="114">
        <f t="shared" si="48"/>
        <v>1603.955199280181</v>
      </c>
      <c r="CQ26" s="114"/>
      <c r="CR26" s="114">
        <f t="shared" si="49"/>
        <v>22902.560828795235</v>
      </c>
      <c r="CS26" s="114">
        <f t="shared" si="50"/>
        <v>22902.560828795235</v>
      </c>
      <c r="CT26" s="114"/>
      <c r="CU26" s="114" t="e">
        <f t="shared" si="51"/>
        <v>#REF!</v>
      </c>
      <c r="CV26" s="114" t="e">
        <f t="shared" si="52"/>
        <v>#REF!</v>
      </c>
      <c r="CW26" s="117">
        <f t="shared" ref="CW26:CW29" si="59">+AVERAGE(CW21:CW25)</f>
        <v>548.31214035480002</v>
      </c>
      <c r="CX26" s="117">
        <f t="shared" si="58"/>
        <v>11.353547993599999</v>
      </c>
      <c r="CY26" s="118"/>
      <c r="CZ26" s="114">
        <f t="shared" si="11"/>
        <v>67748.111464586153</v>
      </c>
      <c r="DA26" s="114" t="e">
        <f t="shared" si="53"/>
        <v>#REF!</v>
      </c>
      <c r="DB26" s="114" t="e">
        <f t="shared" si="53"/>
        <v>#REF!</v>
      </c>
      <c r="DC26" s="118"/>
      <c r="DD26" s="119">
        <f t="shared" si="41"/>
        <v>2.6050373576481447</v>
      </c>
      <c r="DE26" s="119">
        <f t="shared" si="42"/>
        <v>8.2704142085872817E-2</v>
      </c>
      <c r="DF26" s="119">
        <f t="shared" si="43"/>
        <v>2.689895973531681</v>
      </c>
    </row>
    <row r="27" spans="1:110" s="105" customFormat="1" x14ac:dyDescent="0.15">
      <c r="A27" s="124">
        <f>A26+1</f>
        <v>2016</v>
      </c>
      <c r="B27" s="113">
        <f t="shared" si="54"/>
        <v>327798.64038286981</v>
      </c>
      <c r="C27" s="113">
        <f t="shared" si="54"/>
        <v>134830.59747815688</v>
      </c>
      <c r="D27" s="113">
        <f t="shared" si="54"/>
        <v>22751.290009729233</v>
      </c>
      <c r="E27" s="121"/>
      <c r="F27" s="122"/>
      <c r="G27" s="122"/>
      <c r="H27" s="123"/>
      <c r="I27" s="124"/>
      <c r="J27" s="118"/>
      <c r="K27" s="118"/>
      <c r="L27" s="118"/>
      <c r="M27" s="124"/>
      <c r="N27" s="113"/>
      <c r="O27" s="125">
        <f t="shared" si="55"/>
        <v>14567.384934906639</v>
      </c>
      <c r="P27" s="125">
        <f t="shared" si="55"/>
        <v>138221.06135994042</v>
      </c>
      <c r="Q27" s="125">
        <f t="shared" si="55"/>
        <v>35.788689372100961</v>
      </c>
      <c r="R27" s="125">
        <f t="shared" si="55"/>
        <v>81432132.191772521</v>
      </c>
      <c r="S27" s="118"/>
      <c r="T27" s="115"/>
      <c r="U27" s="115">
        <f t="shared" si="56"/>
        <v>9.5865404002324137</v>
      </c>
      <c r="V27" s="115">
        <f t="shared" si="56"/>
        <v>11.836609576388444</v>
      </c>
      <c r="W27" s="115">
        <f t="shared" si="56"/>
        <v>3.5776319041605222</v>
      </c>
      <c r="X27" s="115">
        <f t="shared" si="56"/>
        <v>18.215280497452376</v>
      </c>
      <c r="Y27" s="118"/>
      <c r="Z27" s="115"/>
      <c r="AA27" s="115"/>
      <c r="AB27" s="115"/>
      <c r="AC27" s="115"/>
      <c r="AD27" s="115">
        <f t="shared" si="4"/>
        <v>6.1353639486361189E-4</v>
      </c>
      <c r="AE27" s="126">
        <f t="shared" si="5"/>
        <v>-4.1359047394443849E-2</v>
      </c>
      <c r="AF27" s="115">
        <f t="shared" si="13"/>
        <v>-8.4923078416521136E-3</v>
      </c>
      <c r="AG27" s="115"/>
      <c r="AH27" s="115">
        <f t="shared" si="14"/>
        <v>1.1666312695057357E-2</v>
      </c>
      <c r="AI27" s="115">
        <f t="shared" si="15"/>
        <v>4.651823480897832E-2</v>
      </c>
      <c r="AJ27" s="115">
        <f t="shared" si="16"/>
        <v>6.2090455260279676E-3</v>
      </c>
      <c r="AK27" s="115">
        <f t="shared" si="29"/>
        <v>2.0007745484207362E-3</v>
      </c>
      <c r="AL27" s="115"/>
      <c r="AM27" s="115">
        <f t="shared" si="17"/>
        <v>1.4430342164021125E-2</v>
      </c>
      <c r="AN27" s="115">
        <f t="shared" si="30"/>
        <v>1.5684940954481669E-2</v>
      </c>
      <c r="AO27" s="115">
        <f t="shared" si="18"/>
        <v>5.4451342368696948E-3</v>
      </c>
      <c r="AP27" s="115">
        <f t="shared" si="31"/>
        <v>2.0055023786786541E-3</v>
      </c>
      <c r="AQ27" s="115">
        <f t="shared" si="32"/>
        <v>-9.7822808897223544E-4</v>
      </c>
      <c r="AR27" s="115">
        <f t="shared" si="19"/>
        <v>2.7019172172416932E-2</v>
      </c>
      <c r="AS27" s="115">
        <f t="shared" si="33"/>
        <v>3.1632046723707981E-3</v>
      </c>
      <c r="AT27" s="115">
        <f t="shared" si="46"/>
        <v>0</v>
      </c>
      <c r="AU27" s="115">
        <f t="shared" si="46"/>
        <v>0</v>
      </c>
      <c r="AV27" s="115">
        <f t="shared" si="46"/>
        <v>0</v>
      </c>
      <c r="AW27" s="115"/>
      <c r="AX27" s="115">
        <f t="shared" si="34"/>
        <v>1.8897248311918583E-2</v>
      </c>
      <c r="AY27" s="115">
        <f t="shared" si="21"/>
        <v>4.2704113126898605E-2</v>
      </c>
      <c r="AZ27" s="115">
        <f>+AP27+AS27+AV27</f>
        <v>5.1687070510494527E-3</v>
      </c>
      <c r="BA27" s="118"/>
      <c r="BB27" s="115"/>
      <c r="BC27" s="115"/>
      <c r="BD27" s="115"/>
      <c r="BE27" s="118"/>
      <c r="BF27" s="41">
        <f>Resultados_trabajo!C8</f>
        <v>1.1734629531049752</v>
      </c>
      <c r="BG27" s="41">
        <f>Resultados_trabajo!D8</f>
        <v>4.7617181993559203</v>
      </c>
      <c r="BH27" s="41">
        <f>Resultados_trabajo!E8</f>
        <v>0.62283616066471503</v>
      </c>
      <c r="BI27" s="41">
        <f>Resultados_trabajo!F8</f>
        <v>0.20027774333690559</v>
      </c>
      <c r="BJ27" s="118"/>
      <c r="BK27" s="128">
        <f t="shared" si="57"/>
        <v>12.70015479758</v>
      </c>
      <c r="BL27" s="128">
        <f t="shared" si="57"/>
        <v>11.811774435962638</v>
      </c>
      <c r="BM27" s="128">
        <f t="shared" si="57"/>
        <v>10.032377126495863</v>
      </c>
      <c r="BN27" s="114">
        <f t="shared" si="27"/>
        <v>327798.64038286981</v>
      </c>
      <c r="BO27" s="114">
        <f t="shared" si="27"/>
        <v>134830.59747815688</v>
      </c>
      <c r="BP27" s="114">
        <f t="shared" si="27"/>
        <v>22751.290009729233</v>
      </c>
      <c r="BQ27" s="114">
        <f t="shared" si="39"/>
        <v>485380.52787075588</v>
      </c>
      <c r="BR27" s="118"/>
      <c r="BS27" s="114">
        <v>7741.7766943010802</v>
      </c>
      <c r="BT27" s="114">
        <v>7741.7766943010802</v>
      </c>
      <c r="BU27" s="114">
        <v>7741.7766943010802</v>
      </c>
      <c r="BV27" s="118"/>
      <c r="BW27" s="114">
        <f>BK27-BS27</f>
        <v>-7729.0765395035005</v>
      </c>
      <c r="BX27" s="114">
        <f>BK27+BS27</f>
        <v>7754.4768490986598</v>
      </c>
      <c r="BY27" s="118"/>
      <c r="BZ27" s="114">
        <f>BN27-BV27</f>
        <v>327798.64038286981</v>
      </c>
      <c r="CA27" s="114">
        <f>BN27+BV27</f>
        <v>327798.64038286981</v>
      </c>
      <c r="CB27" s="118"/>
      <c r="CC27" s="114" t="e">
        <f>#REF!-BY27</f>
        <v>#REF!</v>
      </c>
      <c r="CD27" s="114" t="e">
        <f>#REF!+BY27</f>
        <v>#REF!</v>
      </c>
      <c r="CE27" s="118"/>
      <c r="CF27" s="116">
        <f>+Resultados_trabajo!G8</f>
        <v>18</v>
      </c>
      <c r="CG27" s="116">
        <f>+Resultados_trabajo!H8</f>
        <v>7.1501793571865342</v>
      </c>
      <c r="CH27" s="116">
        <f>+Resultados_trabajo!I8</f>
        <v>0.39666666666666667</v>
      </c>
      <c r="CI27" s="116">
        <f t="shared" si="8"/>
        <v>14.160978377562456</v>
      </c>
      <c r="CJ27" s="118"/>
      <c r="CK27" s="114">
        <f t="shared" si="9"/>
        <v>59003.75526891656</v>
      </c>
      <c r="CL27" s="114">
        <f t="shared" si="10"/>
        <v>9640.6295480544413</v>
      </c>
      <c r="CM27" s="114">
        <f t="shared" si="40"/>
        <v>90.24678370525929</v>
      </c>
      <c r="CN27" s="114"/>
      <c r="CO27" s="114">
        <f t="shared" si="47"/>
        <v>-1391.2337771106302</v>
      </c>
      <c r="CP27" s="114">
        <f t="shared" si="48"/>
        <v>1395.8058328377585</v>
      </c>
      <c r="CQ27" s="114"/>
      <c r="CR27" s="114">
        <f t="shared" si="49"/>
        <v>23438.190717794081</v>
      </c>
      <c r="CS27" s="114">
        <f t="shared" si="50"/>
        <v>23438.190717794081</v>
      </c>
      <c r="CT27" s="114"/>
      <c r="CU27" s="114" t="e">
        <f t="shared" si="51"/>
        <v>#REF!</v>
      </c>
      <c r="CV27" s="114" t="e">
        <f t="shared" si="52"/>
        <v>#REF!</v>
      </c>
      <c r="CW27" s="117">
        <f t="shared" si="59"/>
        <v>561.98696144175995</v>
      </c>
      <c r="CX27" s="117">
        <f t="shared" si="58"/>
        <v>11.804859798320001</v>
      </c>
      <c r="CY27" s="118"/>
      <c r="CZ27" s="114">
        <f t="shared" si="11"/>
        <v>69308.423421916319</v>
      </c>
      <c r="DA27" s="114" t="e">
        <f t="shared" si="53"/>
        <v>#REF!</v>
      </c>
      <c r="DB27" s="114" t="e">
        <f t="shared" si="53"/>
        <v>#REF!</v>
      </c>
      <c r="DC27" s="118"/>
      <c r="DD27" s="119">
        <f t="shared" si="41"/>
        <v>2.5111882080849792</v>
      </c>
      <c r="DE27" s="119">
        <f t="shared" si="42"/>
        <v>-0.20477839952240845</v>
      </c>
      <c r="DF27" s="119">
        <f t="shared" si="43"/>
        <v>2.3012674375410627</v>
      </c>
    </row>
    <row r="28" spans="1:110" s="105" customFormat="1" x14ac:dyDescent="0.15">
      <c r="A28" s="124">
        <f t="shared" si="28"/>
        <v>2017</v>
      </c>
      <c r="B28" s="113">
        <f t="shared" si="54"/>
        <v>334129.52208498155</v>
      </c>
      <c r="C28" s="113">
        <f t="shared" si="54"/>
        <v>141217.92678779989</v>
      </c>
      <c r="D28" s="113">
        <f t="shared" si="54"/>
        <v>22613.027140594986</v>
      </c>
      <c r="E28" s="121"/>
      <c r="F28" s="122"/>
      <c r="G28" s="122"/>
      <c r="H28" s="123"/>
      <c r="I28" s="124"/>
      <c r="J28" s="118"/>
      <c r="K28" s="118"/>
      <c r="L28" s="118"/>
      <c r="M28" s="124"/>
      <c r="N28" s="113"/>
      <c r="O28" s="125">
        <f t="shared" si="55"/>
        <v>14701.599807788103</v>
      </c>
      <c r="P28" s="125">
        <f t="shared" si="55"/>
        <v>144780.53943957255</v>
      </c>
      <c r="Q28" s="125">
        <f t="shared" si="55"/>
        <v>36.120697010641123</v>
      </c>
      <c r="R28" s="125">
        <f t="shared" si="55"/>
        <v>80753585.263770089</v>
      </c>
      <c r="S28" s="118"/>
      <c r="T28" s="115"/>
      <c r="U28" s="115">
        <f t="shared" si="56"/>
        <v>9.5957115973069982</v>
      </c>
      <c r="V28" s="115">
        <f t="shared" si="56"/>
        <v>11.882974353766235</v>
      </c>
      <c r="W28" s="115">
        <f t="shared" si="56"/>
        <v>3.5868660254456861</v>
      </c>
      <c r="X28" s="115">
        <f t="shared" si="56"/>
        <v>18.206912918632742</v>
      </c>
      <c r="Y28" s="118"/>
      <c r="Z28" s="115"/>
      <c r="AA28" s="115"/>
      <c r="AB28" s="115"/>
      <c r="AC28" s="115"/>
      <c r="AD28" s="115">
        <f t="shared" si="4"/>
        <v>1.2093208137109457E-5</v>
      </c>
      <c r="AE28" s="126">
        <f t="shared" si="5"/>
        <v>-4.1503429728043884E-2</v>
      </c>
      <c r="AF28" s="115">
        <f t="shared" si="13"/>
        <v>-6.4786962301406348E-3</v>
      </c>
      <c r="AG28" s="115"/>
      <c r="AH28" s="115">
        <f t="shared" si="14"/>
        <v>9.1711970745844695E-3</v>
      </c>
      <c r="AI28" s="115">
        <f t="shared" si="15"/>
        <v>4.63647773777911E-2</v>
      </c>
      <c r="AJ28" s="115">
        <f t="shared" si="16"/>
        <v>9.2341212851638765E-3</v>
      </c>
      <c r="AK28" s="115">
        <f t="shared" si="29"/>
        <v>-8.3675788196337919E-3</v>
      </c>
      <c r="AL28" s="115"/>
      <c r="AM28" s="115">
        <f t="shared" si="17"/>
        <v>1.1344073770283319E-2</v>
      </c>
      <c r="AN28" s="115">
        <f t="shared" si="30"/>
        <v>1.646954844294473E-2</v>
      </c>
      <c r="AO28" s="115">
        <f t="shared" si="18"/>
        <v>8.0980288752075941E-3</v>
      </c>
      <c r="AP28" s="115">
        <f t="shared" si="31"/>
        <v>-8.3873514083845861E-3</v>
      </c>
      <c r="AQ28" s="115">
        <f t="shared" si="32"/>
        <v>-3.1291276442636502E-4</v>
      </c>
      <c r="AR28" s="115">
        <f t="shared" si="19"/>
        <v>2.9815571830464991E-2</v>
      </c>
      <c r="AS28" s="115">
        <f t="shared" si="33"/>
        <v>2.2916662556855061E-3</v>
      </c>
      <c r="AT28" s="115">
        <f t="shared" si="46"/>
        <v>0</v>
      </c>
      <c r="AU28" s="115">
        <f t="shared" si="46"/>
        <v>0</v>
      </c>
      <c r="AV28" s="115">
        <f t="shared" si="46"/>
        <v>0</v>
      </c>
      <c r="AW28" s="115"/>
      <c r="AX28" s="115">
        <f t="shared" si="34"/>
        <v>1.9129189881064549E-2</v>
      </c>
      <c r="AY28" s="115">
        <f t="shared" si="21"/>
        <v>4.6285120273409724E-2</v>
      </c>
      <c r="AZ28" s="115">
        <f>+AP28+AS28+AV28</f>
        <v>-6.0956851526990799E-3</v>
      </c>
      <c r="BA28" s="118"/>
      <c r="BB28" s="115"/>
      <c r="BC28" s="115"/>
      <c r="BD28" s="115"/>
      <c r="BE28" s="118"/>
      <c r="BF28" s="41">
        <f>Resultados_trabajo!C9</f>
        <v>0.92133813639987427</v>
      </c>
      <c r="BG28" s="41">
        <f>Resultados_trabajo!D9</f>
        <v>4.7456429686577515</v>
      </c>
      <c r="BH28" s="41">
        <f>Resultados_trabajo!E9</f>
        <v>0.92768873173372812</v>
      </c>
      <c r="BI28" s="41">
        <f>Resultados_trabajo!F9</f>
        <v>-0.83326680726528379</v>
      </c>
      <c r="BJ28" s="129"/>
      <c r="BK28" s="128">
        <f t="shared" si="57"/>
        <v>12.719283987461065</v>
      </c>
      <c r="BL28" s="128">
        <f t="shared" si="57"/>
        <v>11.858059556236048</v>
      </c>
      <c r="BM28" s="128">
        <f t="shared" si="57"/>
        <v>10.026281441343164</v>
      </c>
      <c r="BN28" s="114">
        <f t="shared" si="27"/>
        <v>334129.52208498155</v>
      </c>
      <c r="BO28" s="114">
        <f t="shared" si="27"/>
        <v>141217.92678779989</v>
      </c>
      <c r="BP28" s="114">
        <f t="shared" si="27"/>
        <v>22613.027140594986</v>
      </c>
      <c r="BQ28" s="114">
        <f t="shared" si="39"/>
        <v>497960.47601337644</v>
      </c>
      <c r="BR28" s="118"/>
      <c r="BS28" s="114">
        <v>8898.1809606739607</v>
      </c>
      <c r="BT28" s="114">
        <v>8898.1809606739607</v>
      </c>
      <c r="BU28" s="114">
        <v>8898.1809606739607</v>
      </c>
      <c r="BV28" s="118"/>
      <c r="BW28" s="114">
        <f>BK28-BS28</f>
        <v>-8885.4616766865001</v>
      </c>
      <c r="BX28" s="114">
        <f>BK28+BS28</f>
        <v>8910.9002446614213</v>
      </c>
      <c r="BY28" s="118"/>
      <c r="BZ28" s="114">
        <f>BN28-BV28</f>
        <v>334129.52208498155</v>
      </c>
      <c r="CA28" s="114">
        <f>BN28+BV28</f>
        <v>334129.52208498155</v>
      </c>
      <c r="CB28" s="118"/>
      <c r="CC28" s="114" t="e">
        <f>#REF!-BY28</f>
        <v>#REF!</v>
      </c>
      <c r="CD28" s="114" t="e">
        <f>#REF!+BY28</f>
        <v>#REF!</v>
      </c>
      <c r="CE28" s="118"/>
      <c r="CF28" s="116">
        <f>+Resultados_trabajo!G9</f>
        <v>18</v>
      </c>
      <c r="CG28" s="116">
        <f>+Resultados_trabajo!H9</f>
        <v>7.0794582583294323</v>
      </c>
      <c r="CH28" s="116">
        <f>+Resultados_trabajo!I9</f>
        <v>0.39222222222222219</v>
      </c>
      <c r="CI28" s="116">
        <f t="shared" si="8"/>
        <v>14.103422832938497</v>
      </c>
      <c r="CJ28" s="118"/>
      <c r="CK28" s="114">
        <f t="shared" si="9"/>
        <v>60143.313975296682</v>
      </c>
      <c r="CL28" s="114">
        <f t="shared" si="10"/>
        <v>9997.4641802205115</v>
      </c>
      <c r="CM28" s="114">
        <f t="shared" si="40"/>
        <v>88.693317562555876</v>
      </c>
      <c r="CN28" s="114"/>
      <c r="CO28" s="114">
        <f t="shared" si="47"/>
        <v>-1599.3831018035701</v>
      </c>
      <c r="CP28" s="114">
        <f t="shared" si="48"/>
        <v>1603.9620440390559</v>
      </c>
      <c r="CQ28" s="114"/>
      <c r="CR28" s="114">
        <f t="shared" si="49"/>
        <v>23654.560044761893</v>
      </c>
      <c r="CS28" s="114">
        <f t="shared" si="50"/>
        <v>23654.560044761893</v>
      </c>
      <c r="CT28" s="114"/>
      <c r="CU28" s="114" t="e">
        <f t="shared" si="51"/>
        <v>#REF!</v>
      </c>
      <c r="CV28" s="114" t="e">
        <f t="shared" si="52"/>
        <v>#REF!</v>
      </c>
      <c r="CW28" s="117">
        <f t="shared" si="59"/>
        <v>578.13322847611187</v>
      </c>
      <c r="CX28" s="117">
        <f t="shared" si="58"/>
        <v>12.229523653984002</v>
      </c>
      <c r="CY28" s="118"/>
      <c r="CZ28" s="114">
        <f t="shared" si="11"/>
        <v>70819.834225209852</v>
      </c>
      <c r="DA28" s="114" t="e">
        <f t="shared" si="53"/>
        <v>#REF!</v>
      </c>
      <c r="DB28" s="114" t="e">
        <f t="shared" si="53"/>
        <v>#REF!</v>
      </c>
      <c r="DC28" s="118"/>
      <c r="DD28" s="119">
        <f t="shared" si="41"/>
        <v>2.5917702545270362</v>
      </c>
      <c r="DE28" s="119">
        <f t="shared" si="42"/>
        <v>-0.40643762803249306</v>
      </c>
      <c r="DF28" s="119">
        <f t="shared" si="43"/>
        <v>2.1747986969479878</v>
      </c>
    </row>
    <row r="29" spans="1:110" s="105" customFormat="1" ht="11.25" thickBot="1" x14ac:dyDescent="0.2">
      <c r="A29" s="124">
        <f>A28+1</f>
        <v>2018</v>
      </c>
      <c r="B29" s="113">
        <f t="shared" si="54"/>
        <v>339023.33368910931</v>
      </c>
      <c r="C29" s="113">
        <f t="shared" si="54"/>
        <v>147915.2021830006</v>
      </c>
      <c r="D29" s="113">
        <f t="shared" si="54"/>
        <v>22691.787164617443</v>
      </c>
      <c r="E29" s="121"/>
      <c r="F29" s="122"/>
      <c r="G29" s="122"/>
      <c r="H29" s="123"/>
      <c r="I29" s="124"/>
      <c r="J29" s="118"/>
      <c r="K29" s="118"/>
      <c r="L29" s="118"/>
      <c r="M29" s="124"/>
      <c r="N29" s="113"/>
      <c r="O29" s="125">
        <f t="shared" si="55"/>
        <v>14797.701256747165</v>
      </c>
      <c r="P29" s="125">
        <f t="shared" si="55"/>
        <v>151692.95644822708</v>
      </c>
      <c r="Q29" s="125">
        <f t="shared" si="55"/>
        <v>36.388882704340304</v>
      </c>
      <c r="R29" s="125">
        <f t="shared" si="55"/>
        <v>80892967.680147976</v>
      </c>
      <c r="S29" s="118"/>
      <c r="T29" s="115"/>
      <c r="U29" s="115">
        <f t="shared" si="56"/>
        <v>9.6022271271986739</v>
      </c>
      <c r="V29" s="115">
        <f t="shared" si="56"/>
        <v>11.929613733462551</v>
      </c>
      <c r="W29" s="115">
        <f t="shared" si="56"/>
        <v>3.5942633077820125</v>
      </c>
      <c r="X29" s="115">
        <f t="shared" si="56"/>
        <v>18.208637452170677</v>
      </c>
      <c r="Y29" s="118"/>
      <c r="Z29" s="115"/>
      <c r="AA29" s="115"/>
      <c r="AB29" s="115"/>
      <c r="AC29" s="115"/>
      <c r="AD29" s="115">
        <f t="shared" si="4"/>
        <v>-2.052170012993848E-4</v>
      </c>
      <c r="AE29" s="126">
        <f t="shared" si="5"/>
        <v>-4.1873043914467445E-2</v>
      </c>
      <c r="AF29" s="115">
        <f t="shared" si="13"/>
        <v>-4.6731008455802581E-3</v>
      </c>
      <c r="AG29" s="115"/>
      <c r="AH29" s="115">
        <f t="shared" si="14"/>
        <v>6.5155298916756976E-3</v>
      </c>
      <c r="AI29" s="115">
        <f t="shared" si="15"/>
        <v>4.6639379696316041E-2</v>
      </c>
      <c r="AJ29" s="115">
        <f t="shared" si="16"/>
        <v>7.3972823363264162E-3</v>
      </c>
      <c r="AK29" s="115">
        <f t="shared" si="29"/>
        <v>1.7245335379350024E-3</v>
      </c>
      <c r="AL29" s="115"/>
      <c r="AM29" s="115">
        <f t="shared" si="17"/>
        <v>8.0592152957310696E-3</v>
      </c>
      <c r="AN29" s="115">
        <f t="shared" si="30"/>
        <v>1.6415217606720049E-2</v>
      </c>
      <c r="AO29" s="115">
        <f t="shared" si="18"/>
        <v>6.4871798959235047E-3</v>
      </c>
      <c r="AP29" s="115">
        <f t="shared" si="31"/>
        <v>1.7286086106851426E-3</v>
      </c>
      <c r="AQ29" s="115">
        <f t="shared" si="32"/>
        <v>-6.1677175480478793E-6</v>
      </c>
      <c r="AR29" s="115">
        <f t="shared" si="19"/>
        <v>2.9919656477227923E-2</v>
      </c>
      <c r="AS29" s="115">
        <f t="shared" si="33"/>
        <v>1.7482891350959105E-3</v>
      </c>
      <c r="AT29" s="115">
        <f t="shared" si="46"/>
        <v>0</v>
      </c>
      <c r="AU29" s="115">
        <f t="shared" si="46"/>
        <v>0</v>
      </c>
      <c r="AV29" s="115">
        <f t="shared" si="46"/>
        <v>0</v>
      </c>
      <c r="AW29" s="115"/>
      <c r="AX29" s="115">
        <f t="shared" si="34"/>
        <v>1.4540227474106526E-2</v>
      </c>
      <c r="AY29" s="115">
        <f t="shared" si="21"/>
        <v>4.6334874083947972E-2</v>
      </c>
      <c r="AZ29" s="115">
        <f>+AP29+AS29+AV29</f>
        <v>3.4768977457810529E-3</v>
      </c>
      <c r="BA29" s="118"/>
      <c r="BB29" s="115"/>
      <c r="BC29" s="115"/>
      <c r="BD29" s="115"/>
      <c r="BE29" s="118"/>
      <c r="BF29" s="54">
        <f>Resultados_trabajo!C10</f>
        <v>0.65368021314355995</v>
      </c>
      <c r="BG29" s="54">
        <f>Resultados_trabajo!D10</f>
        <v>4.7744103146815497</v>
      </c>
      <c r="BH29" s="54">
        <f>Resultados_trabajo!E10</f>
        <v>0.74247098172046289</v>
      </c>
      <c r="BI29" s="54">
        <f>Resultados_trabajo!F10</f>
        <v>0.17260214010637737</v>
      </c>
      <c r="BJ29" s="118"/>
      <c r="BK29" s="128">
        <f t="shared" si="57"/>
        <v>12.733824214935172</v>
      </c>
      <c r="BL29" s="128">
        <f t="shared" si="57"/>
        <v>11.904394430319996</v>
      </c>
      <c r="BM29" s="128">
        <f t="shared" si="57"/>
        <v>10.029758339088945</v>
      </c>
      <c r="BN29" s="114">
        <f t="shared" si="27"/>
        <v>339023.33368910931</v>
      </c>
      <c r="BO29" s="114">
        <f t="shared" si="27"/>
        <v>147915.2021830006</v>
      </c>
      <c r="BP29" s="114">
        <f t="shared" si="27"/>
        <v>22691.787164617443</v>
      </c>
      <c r="BQ29" s="114">
        <f t="shared" si="39"/>
        <v>509630.32303672738</v>
      </c>
      <c r="BR29" s="118"/>
      <c r="BS29" s="114">
        <v>7741.7766943010802</v>
      </c>
      <c r="BT29" s="114">
        <v>7741.7766943010802</v>
      </c>
      <c r="BU29" s="114">
        <v>7741.7766943010802</v>
      </c>
      <c r="BV29" s="118"/>
      <c r="BW29" s="114">
        <f>BK29-BS29</f>
        <v>-7729.0428700861448</v>
      </c>
      <c r="BX29" s="114">
        <f>BK29+BS29</f>
        <v>7754.5105185160155</v>
      </c>
      <c r="BY29" s="118"/>
      <c r="BZ29" s="114">
        <f>BN29-BV29</f>
        <v>339023.33368910931</v>
      </c>
      <c r="CA29" s="114">
        <f>BN29+BV29</f>
        <v>339023.33368910931</v>
      </c>
      <c r="CB29" s="118"/>
      <c r="CC29" s="114" t="e">
        <f>#REF!-BY29</f>
        <v>#REF!</v>
      </c>
      <c r="CD29" s="114" t="e">
        <f>#REF!+BY29</f>
        <v>#REF!</v>
      </c>
      <c r="CE29" s="118"/>
      <c r="CF29" s="116">
        <f>+Resultados_trabajo!G10</f>
        <v>18</v>
      </c>
      <c r="CG29" s="116">
        <f>+Resultados_trabajo!H10</f>
        <v>7.1165670448462608</v>
      </c>
      <c r="CH29" s="116">
        <f>+Resultados_trabajo!I10</f>
        <v>0.39629629629629631</v>
      </c>
      <c r="CI29" s="116">
        <f t="shared" si="8"/>
        <v>14.057368266889162</v>
      </c>
      <c r="CJ29" s="118"/>
      <c r="CK29" s="114">
        <f t="shared" si="9"/>
        <v>61024.20006403968</v>
      </c>
      <c r="CL29" s="114">
        <f t="shared" si="10"/>
        <v>10526.484532873137</v>
      </c>
      <c r="CM29" s="114">
        <f t="shared" si="40"/>
        <v>89.926712096817283</v>
      </c>
      <c r="CN29" s="114"/>
      <c r="CO29" s="114">
        <f t="shared" si="47"/>
        <v>-1391.2277166155063</v>
      </c>
      <c r="CP29" s="114">
        <f t="shared" si="48"/>
        <v>1395.8118933328828</v>
      </c>
      <c r="CQ29" s="114"/>
      <c r="CR29" s="114">
        <f t="shared" si="49"/>
        <v>24126.822839658325</v>
      </c>
      <c r="CS29" s="114">
        <f t="shared" si="50"/>
        <v>24126.822839658325</v>
      </c>
      <c r="CT29" s="114"/>
      <c r="CU29" s="114" t="e">
        <f t="shared" si="51"/>
        <v>#REF!</v>
      </c>
      <c r="CV29" s="114" t="e">
        <f t="shared" si="52"/>
        <v>#REF!</v>
      </c>
      <c r="CW29" s="117">
        <f t="shared" si="59"/>
        <v>576.36649097133443</v>
      </c>
      <c r="CX29" s="117">
        <f t="shared" si="58"/>
        <v>11.774511184780803</v>
      </c>
      <c r="CY29" s="118"/>
      <c r="CZ29" s="114">
        <f t="shared" si="11"/>
        <v>72228.75231116575</v>
      </c>
      <c r="DA29" s="114" t="e">
        <f t="shared" si="53"/>
        <v>#REF!</v>
      </c>
      <c r="DB29" s="114" t="e">
        <f t="shared" si="53"/>
        <v>#REF!</v>
      </c>
      <c r="DC29" s="118"/>
      <c r="DD29" s="119">
        <f t="shared" si="41"/>
        <v>2.3435287709535935</v>
      </c>
      <c r="DE29" s="119">
        <f t="shared" si="42"/>
        <v>-0.32654885693262303</v>
      </c>
      <c r="DF29" s="119">
        <f t="shared" si="43"/>
        <v>2.0093271476075287</v>
      </c>
    </row>
    <row r="30" spans="1:110" x14ac:dyDescent="0.15">
      <c r="I30" s="105"/>
      <c r="CC30" s="23"/>
      <c r="CY30" s="105"/>
      <c r="DA30" s="24"/>
      <c r="DB30" s="24"/>
      <c r="DC30" s="106"/>
    </row>
    <row r="31" spans="1:110" x14ac:dyDescent="0.15">
      <c r="CY31" s="105"/>
      <c r="DA31" s="24"/>
      <c r="DB31" s="24"/>
      <c r="DC31" s="106"/>
    </row>
    <row r="32" spans="1:110" x14ac:dyDescent="0.15">
      <c r="V32" s="24"/>
      <c r="W32" s="24"/>
      <c r="X32" s="24"/>
      <c r="AJ32" s="24"/>
      <c r="AK32" s="24"/>
      <c r="AO32" s="24"/>
      <c r="AP32" s="24"/>
      <c r="CY32" s="105"/>
      <c r="DC32" s="105"/>
    </row>
    <row r="33" spans="22:107" x14ac:dyDescent="0.15">
      <c r="V33" s="24"/>
      <c r="W33" s="24"/>
      <c r="X33" s="24"/>
      <c r="AJ33" s="24"/>
      <c r="AK33" s="24"/>
      <c r="AO33" s="24"/>
      <c r="AP33" s="24"/>
      <c r="DC33" s="105"/>
    </row>
    <row r="34" spans="22:107" x14ac:dyDescent="0.15">
      <c r="V34" s="21"/>
      <c r="W34" s="24"/>
      <c r="X34" s="24"/>
      <c r="AJ34" s="21"/>
      <c r="AK34" s="24"/>
      <c r="AO34" s="21"/>
      <c r="AP34" s="24"/>
      <c r="DC34" s="105"/>
    </row>
    <row r="35" spans="22:107" x14ac:dyDescent="0.15">
      <c r="V35" s="21"/>
      <c r="W35" s="24"/>
      <c r="X35" s="24"/>
      <c r="AJ35" s="21"/>
      <c r="AK35" s="24"/>
      <c r="AO35" s="21"/>
      <c r="AP35" s="24"/>
    </row>
    <row r="36" spans="22:107" x14ac:dyDescent="0.15">
      <c r="V36" s="24"/>
      <c r="W36" s="24"/>
      <c r="X36" s="24"/>
      <c r="AJ36" s="24"/>
      <c r="AK36" s="24"/>
      <c r="AO36" s="24"/>
      <c r="AP36" s="24"/>
    </row>
    <row r="37" spans="22:107" x14ac:dyDescent="0.15">
      <c r="V37" s="24"/>
      <c r="W37" s="24"/>
      <c r="X37" s="24"/>
      <c r="AJ37" s="24"/>
      <c r="AK37" s="24"/>
      <c r="AO37" s="24"/>
      <c r="AP37" s="24"/>
    </row>
    <row r="38" spans="22:107" x14ac:dyDescent="0.15">
      <c r="V38" s="24"/>
      <c r="W38" s="24"/>
      <c r="X38" s="24"/>
      <c r="AJ38" s="24"/>
      <c r="AK38" s="24"/>
      <c r="AO38" s="24"/>
      <c r="AP38" s="24"/>
    </row>
    <row r="39" spans="22:107" x14ac:dyDescent="0.15">
      <c r="V39" s="24"/>
      <c r="W39" s="24"/>
      <c r="X39" s="24"/>
      <c r="AJ39" s="24"/>
      <c r="AK39" s="24"/>
      <c r="AO39" s="24"/>
      <c r="AP39" s="24"/>
    </row>
    <row r="40" spans="22:107" x14ac:dyDescent="0.15">
      <c r="V40" s="24"/>
      <c r="W40" s="24"/>
      <c r="X40" s="24"/>
      <c r="AJ40" s="24"/>
      <c r="AK40" s="24"/>
      <c r="AO40" s="24"/>
      <c r="AP40" s="24"/>
    </row>
    <row r="42" spans="22:107" x14ac:dyDescent="0.15">
      <c r="V42" s="25"/>
      <c r="W42" s="25"/>
      <c r="X42" s="25"/>
      <c r="AJ42" s="25"/>
      <c r="AK42" s="25"/>
      <c r="AO42" s="25"/>
      <c r="AP42" s="25"/>
    </row>
    <row r="43" spans="22:107" x14ac:dyDescent="0.15">
      <c r="V43" s="25"/>
      <c r="W43" s="25"/>
      <c r="X43" s="25"/>
      <c r="AJ43" s="25"/>
      <c r="AK43" s="25"/>
      <c r="AO43" s="25"/>
      <c r="AP43" s="25"/>
    </row>
    <row r="61" spans="58:61" x14ac:dyDescent="0.15">
      <c r="BF61" s="16"/>
      <c r="BG61" s="16"/>
      <c r="BH61" s="16"/>
      <c r="BI61" s="16"/>
    </row>
    <row r="62" spans="58:61" x14ac:dyDescent="0.15">
      <c r="BF62" s="16"/>
      <c r="BG62" s="16"/>
      <c r="BH62" s="16"/>
      <c r="BI62" s="16"/>
    </row>
  </sheetData>
  <sheetProtection algorithmName="SHA-512" hashValue="gQQ6nCzddhYSwFbAE+GGAJKT9N017C+OvRaWD/z2gf07yxouuqHzaVwGmIAvrTP72w7FSeBu8y4/q8L1S8vwhw==" saltValue="7MMUwHbWCF40Y8+i0QN/sw==" spinCount="100000" sheet="1" objects="1" scenarios="1"/>
  <mergeCells count="23">
    <mergeCell ref="E11:G11"/>
    <mergeCell ref="E12:G12"/>
    <mergeCell ref="E13:G13"/>
    <mergeCell ref="E6:G6"/>
    <mergeCell ref="E7:G7"/>
    <mergeCell ref="E8:G8"/>
    <mergeCell ref="E9:G9"/>
    <mergeCell ref="E10:G10"/>
    <mergeCell ref="Z2:AB2"/>
    <mergeCell ref="B2:D2"/>
    <mergeCell ref="J2:L2"/>
    <mergeCell ref="N2:R2"/>
    <mergeCell ref="T2:X2"/>
    <mergeCell ref="E2:G2"/>
    <mergeCell ref="DD2:DF2"/>
    <mergeCell ref="AD2:AF2"/>
    <mergeCell ref="AH2:AK2"/>
    <mergeCell ref="AM2:AV2"/>
    <mergeCell ref="AX2:AZ2"/>
    <mergeCell ref="BB2:BD2"/>
    <mergeCell ref="BK2:CD2"/>
    <mergeCell ref="CF2:CI2"/>
    <mergeCell ref="CK2:DB2"/>
  </mergeCells>
  <hyperlinks>
    <hyperlink ref="A4" location="Indice!A1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61"/>
  <sheetViews>
    <sheetView showGridLines="0" workbookViewId="0">
      <pane xSplit="1" ySplit="4" topLeftCell="B5" activePane="bottomRight" state="frozen"/>
      <selection activeCell="DS46" sqref="DS46"/>
      <selection pane="topRight" activeCell="DS46" sqref="DS46"/>
      <selection pane="bottomLeft" activeCell="DS46" sqref="DS46"/>
      <selection pane="bottomRight" activeCell="L22" sqref="L22"/>
    </sheetView>
  </sheetViews>
  <sheetFormatPr baseColWidth="10" defaultColWidth="11.42578125" defaultRowHeight="10.5" x14ac:dyDescent="0.15"/>
  <cols>
    <col min="1" max="1" width="11.7109375" style="3" customWidth="1"/>
    <col min="2" max="7" width="11.7109375" style="42" customWidth="1"/>
    <col min="8" max="8" width="2.5703125" style="59" customWidth="1"/>
    <col min="9" max="14" width="11.7109375" style="3" customWidth="1"/>
    <col min="15" max="15" width="5.42578125" style="3" customWidth="1"/>
    <col min="16" max="21" width="11.5703125" style="3" customWidth="1"/>
    <col min="22" max="22" width="5.42578125" style="3" customWidth="1"/>
    <col min="23" max="25" width="11.7109375" style="3" customWidth="1"/>
    <col min="26" max="26" width="5.42578125" style="3" customWidth="1"/>
    <col min="27" max="29" width="11.7109375" style="3" customWidth="1"/>
    <col min="30" max="30" width="5.42578125" style="3" customWidth="1"/>
    <col min="31" max="33" width="11.7109375" style="3" customWidth="1"/>
    <col min="34" max="34" width="4.42578125" style="3" customWidth="1"/>
    <col min="35" max="37" width="11.7109375" style="3" customWidth="1"/>
    <col min="38" max="38" width="4.42578125" style="3" customWidth="1"/>
    <col min="39" max="41" width="11.7109375" style="3" customWidth="1"/>
    <col min="42" max="42" width="4.42578125" style="3" customWidth="1"/>
    <col min="43" max="51" width="11.7109375" style="3" customWidth="1"/>
    <col min="52" max="52" width="4.42578125" style="3" customWidth="1"/>
    <col min="53" max="53" width="9" style="3" customWidth="1"/>
    <col min="54" max="55" width="11.7109375" style="3" customWidth="1"/>
    <col min="56" max="56" width="4.7109375" style="3" customWidth="1"/>
    <col min="57" max="59" width="11.5703125" style="3" customWidth="1"/>
    <col min="60" max="60" width="4.7109375" style="3" customWidth="1"/>
    <col min="61" max="63" width="11.7109375" style="3" customWidth="1"/>
    <col min="64" max="64" width="4.7109375" style="3" customWidth="1"/>
    <col min="65" max="71" width="11.7109375" style="3" customWidth="1"/>
    <col min="72" max="72" width="4.7109375" style="3" customWidth="1"/>
    <col min="73" max="73" width="10.85546875" style="3" hidden="1" customWidth="1"/>
    <col min="74" max="75" width="11.7109375" style="3" hidden="1" customWidth="1"/>
    <col min="76" max="76" width="4.7109375" style="3" hidden="1" customWidth="1"/>
    <col min="77" max="78" width="11.7109375" style="3" hidden="1" customWidth="1"/>
    <col min="79" max="79" width="4.7109375" style="3" hidden="1" customWidth="1"/>
    <col min="80" max="81" width="11.7109375" style="3" hidden="1" customWidth="1"/>
    <col min="82" max="82" width="5.140625" style="3" hidden="1" customWidth="1"/>
    <col min="83" max="83" width="11.7109375" style="3" hidden="1" customWidth="1"/>
    <col min="84" max="84" width="11" style="3" hidden="1" customWidth="1"/>
    <col min="85" max="85" width="5.140625" style="3" customWidth="1"/>
    <col min="86" max="87" width="11.7109375" style="3" customWidth="1"/>
    <col min="88" max="88" width="9.42578125" style="3" customWidth="1"/>
    <col min="89" max="89" width="11.7109375" style="3" customWidth="1"/>
    <col min="90" max="90" width="4.85546875" style="3" customWidth="1"/>
    <col min="91" max="91" width="9" style="3" customWidth="1"/>
    <col min="92" max="93" width="11.7109375" style="3" customWidth="1"/>
    <col min="94" max="94" width="4.7109375" style="3" customWidth="1"/>
    <col min="95" max="96" width="11.7109375" style="3" hidden="1" customWidth="1"/>
    <col min="97" max="97" width="6.28515625" style="3" hidden="1" customWidth="1"/>
    <col min="98" max="102" width="11.7109375" style="3" hidden="1" customWidth="1"/>
    <col min="103" max="103" width="6.28515625" style="3" hidden="1" customWidth="1"/>
    <col min="104" max="104" width="11.7109375" style="3" customWidth="1"/>
    <col min="105" max="106" width="11.7109375" style="3" hidden="1" customWidth="1"/>
    <col min="107" max="107" width="6.28515625" style="3" customWidth="1"/>
    <col min="108" max="16384" width="11.42578125" style="3"/>
  </cols>
  <sheetData>
    <row r="1" spans="1:110" ht="15.75" customHeight="1" x14ac:dyDescent="0.15">
      <c r="B1" s="245" t="s">
        <v>151</v>
      </c>
      <c r="C1" s="246"/>
      <c r="D1" s="246"/>
      <c r="E1" s="246"/>
      <c r="F1" s="246"/>
      <c r="G1" s="247"/>
      <c r="H1" s="58"/>
      <c r="I1" s="241" t="s">
        <v>147</v>
      </c>
      <c r="J1" s="242"/>
      <c r="K1" s="242"/>
      <c r="L1" s="242"/>
      <c r="M1" s="242"/>
      <c r="N1" s="243"/>
      <c r="O1" s="1"/>
      <c r="P1" s="235" t="s">
        <v>1</v>
      </c>
      <c r="Q1" s="235"/>
      <c r="R1" s="235"/>
      <c r="S1" s="235"/>
      <c r="T1" s="235"/>
      <c r="U1" s="235"/>
      <c r="V1" s="1"/>
      <c r="W1" s="235" t="s">
        <v>2</v>
      </c>
      <c r="X1" s="235"/>
      <c r="Y1" s="235"/>
      <c r="Z1" s="1"/>
      <c r="AA1" s="241" t="s">
        <v>3</v>
      </c>
      <c r="AB1" s="242"/>
      <c r="AC1" s="243"/>
      <c r="AD1" s="1"/>
      <c r="AE1" s="235" t="s">
        <v>4</v>
      </c>
      <c r="AF1" s="235"/>
      <c r="AG1" s="235"/>
      <c r="AH1" s="1"/>
      <c r="AI1" s="235" t="s">
        <v>5</v>
      </c>
      <c r="AJ1" s="235"/>
      <c r="AK1" s="235"/>
      <c r="AL1" s="1"/>
      <c r="AM1" s="235" t="s">
        <v>6</v>
      </c>
      <c r="AN1" s="235"/>
      <c r="AO1" s="235"/>
      <c r="AP1" s="1"/>
      <c r="AQ1" s="241" t="s">
        <v>7</v>
      </c>
      <c r="AR1" s="242"/>
      <c r="AS1" s="242"/>
      <c r="AT1" s="242"/>
      <c r="AU1" s="242"/>
      <c r="AV1" s="242"/>
      <c r="AW1" s="242"/>
      <c r="AX1" s="242"/>
      <c r="AY1" s="243"/>
      <c r="AZ1" s="1"/>
      <c r="BA1" s="235" t="s">
        <v>84</v>
      </c>
      <c r="BB1" s="235"/>
      <c r="BC1" s="235"/>
      <c r="BD1" s="1"/>
      <c r="BE1" s="235" t="s">
        <v>9</v>
      </c>
      <c r="BF1" s="235"/>
      <c r="BG1" s="235"/>
      <c r="BH1" s="1"/>
      <c r="BI1" s="2" t="s">
        <v>10</v>
      </c>
      <c r="BJ1" s="2"/>
      <c r="BK1" s="2"/>
      <c r="BM1" s="240" t="s">
        <v>11</v>
      </c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H1" s="239" t="s">
        <v>12</v>
      </c>
      <c r="CI1" s="239"/>
      <c r="CJ1" s="239"/>
      <c r="CK1" s="239"/>
      <c r="CM1" s="239" t="s">
        <v>13</v>
      </c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D1" s="239" t="s">
        <v>14</v>
      </c>
      <c r="DE1" s="239"/>
      <c r="DF1" s="239"/>
    </row>
    <row r="2" spans="1:110" x14ac:dyDescent="0.15">
      <c r="A2" s="1"/>
      <c r="B2" s="244" t="s">
        <v>148</v>
      </c>
      <c r="C2" s="244"/>
      <c r="D2" s="244" t="s">
        <v>149</v>
      </c>
      <c r="E2" s="244"/>
      <c r="F2" s="244" t="s">
        <v>150</v>
      </c>
      <c r="G2" s="244"/>
      <c r="H2" s="56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4"/>
      <c r="U2" s="4"/>
      <c r="V2" s="1"/>
      <c r="W2" s="1"/>
      <c r="X2" s="1"/>
      <c r="Y2" s="5"/>
      <c r="Z2" s="4"/>
      <c r="AA2" s="1"/>
      <c r="AB2" s="1"/>
      <c r="AC2" s="1"/>
      <c r="AD2" s="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 t="s">
        <v>15</v>
      </c>
      <c r="BJ2" s="2"/>
      <c r="BK2" s="2"/>
    </row>
    <row r="3" spans="1:110" ht="52.5" x14ac:dyDescent="0.15">
      <c r="A3" s="183" t="s">
        <v>196</v>
      </c>
      <c r="B3" s="55" t="s">
        <v>78</v>
      </c>
      <c r="C3" s="55" t="s">
        <v>106</v>
      </c>
      <c r="D3" s="55" t="s">
        <v>78</v>
      </c>
      <c r="E3" s="55" t="s">
        <v>106</v>
      </c>
      <c r="F3" s="55" t="s">
        <v>78</v>
      </c>
      <c r="G3" s="55" t="s">
        <v>106</v>
      </c>
      <c r="H3" s="56"/>
      <c r="I3" s="6" t="s">
        <v>85</v>
      </c>
      <c r="J3" s="43" t="s">
        <v>85</v>
      </c>
      <c r="K3" s="43" t="s">
        <v>86</v>
      </c>
      <c r="L3" s="43" t="s">
        <v>86</v>
      </c>
      <c r="M3" s="43" t="s">
        <v>87</v>
      </c>
      <c r="N3" s="43" t="s">
        <v>87</v>
      </c>
      <c r="O3" s="8"/>
      <c r="P3" s="6" t="s">
        <v>85</v>
      </c>
      <c r="Q3" s="6" t="s">
        <v>85</v>
      </c>
      <c r="R3" s="6" t="s">
        <v>86</v>
      </c>
      <c r="S3" s="6" t="s">
        <v>86</v>
      </c>
      <c r="T3" s="7" t="s">
        <v>87</v>
      </c>
      <c r="U3" s="7" t="s">
        <v>87</v>
      </c>
      <c r="V3" s="8"/>
      <c r="W3" s="6" t="s">
        <v>88</v>
      </c>
      <c r="X3" s="6" t="s">
        <v>89</v>
      </c>
      <c r="Y3" s="6" t="s">
        <v>90</v>
      </c>
      <c r="AA3" s="6" t="s">
        <v>88</v>
      </c>
      <c r="AB3" s="6" t="s">
        <v>89</v>
      </c>
      <c r="AC3" s="6" t="s">
        <v>90</v>
      </c>
      <c r="AE3" s="6" t="s">
        <v>91</v>
      </c>
      <c r="AF3" s="6" t="s">
        <v>92</v>
      </c>
      <c r="AG3" s="6" t="s">
        <v>93</v>
      </c>
      <c r="AH3" s="9"/>
      <c r="AI3" s="6" t="s">
        <v>94</v>
      </c>
      <c r="AJ3" s="6" t="s">
        <v>95</v>
      </c>
      <c r="AK3" s="6" t="s">
        <v>96</v>
      </c>
      <c r="AL3" s="9"/>
      <c r="AM3" s="6" t="s">
        <v>89</v>
      </c>
      <c r="AN3" s="6" t="s">
        <v>88</v>
      </c>
      <c r="AO3" s="6" t="s">
        <v>90</v>
      </c>
      <c r="AP3" s="9"/>
      <c r="AQ3" s="6" t="s">
        <v>97</v>
      </c>
      <c r="AR3" s="6" t="s">
        <v>98</v>
      </c>
      <c r="AS3" s="6" t="s">
        <v>99</v>
      </c>
      <c r="AT3" s="6" t="s">
        <v>100</v>
      </c>
      <c r="AU3" s="6" t="s">
        <v>101</v>
      </c>
      <c r="AV3" s="6" t="s">
        <v>102</v>
      </c>
      <c r="AW3" s="6" t="s">
        <v>91</v>
      </c>
      <c r="AX3" s="6" t="s">
        <v>92</v>
      </c>
      <c r="AY3" s="6" t="s">
        <v>93</v>
      </c>
      <c r="AZ3" s="9"/>
      <c r="BA3" s="6" t="s">
        <v>103</v>
      </c>
      <c r="BB3" s="6" t="s">
        <v>104</v>
      </c>
      <c r="BC3" s="6" t="s">
        <v>105</v>
      </c>
      <c r="BD3" s="9"/>
      <c r="BE3" s="6" t="s">
        <v>103</v>
      </c>
      <c r="BF3" s="6" t="s">
        <v>104</v>
      </c>
      <c r="BG3" s="6" t="s">
        <v>105</v>
      </c>
      <c r="BH3" s="9"/>
      <c r="BI3" s="6" t="s">
        <v>89</v>
      </c>
      <c r="BJ3" s="6" t="s">
        <v>88</v>
      </c>
      <c r="BK3" s="6" t="s">
        <v>90</v>
      </c>
      <c r="BM3" s="6" t="s">
        <v>85</v>
      </c>
      <c r="BN3" s="6" t="s">
        <v>86</v>
      </c>
      <c r="BO3" s="7" t="s">
        <v>87</v>
      </c>
      <c r="BP3" s="6" t="s">
        <v>243</v>
      </c>
      <c r="BQ3" s="6" t="s">
        <v>244</v>
      </c>
      <c r="BR3" s="7" t="s">
        <v>245</v>
      </c>
      <c r="BS3" s="6" t="s">
        <v>218</v>
      </c>
      <c r="BU3" s="6" t="s">
        <v>55</v>
      </c>
      <c r="BV3" s="6" t="s">
        <v>56</v>
      </c>
      <c r="BW3" s="6" t="s">
        <v>57</v>
      </c>
      <c r="BY3" s="6" t="s">
        <v>58</v>
      </c>
      <c r="BZ3" s="6" t="s">
        <v>59</v>
      </c>
      <c r="CB3" s="6" t="s">
        <v>60</v>
      </c>
      <c r="CC3" s="6" t="s">
        <v>61</v>
      </c>
      <c r="CE3" s="6" t="s">
        <v>62</v>
      </c>
      <c r="CF3" s="6" t="s">
        <v>63</v>
      </c>
      <c r="CH3" s="6" t="s">
        <v>237</v>
      </c>
      <c r="CI3" s="6" t="s">
        <v>238</v>
      </c>
      <c r="CJ3" s="6" t="s">
        <v>239</v>
      </c>
      <c r="CK3" s="6" t="s">
        <v>222</v>
      </c>
      <c r="CM3" s="6" t="s">
        <v>240</v>
      </c>
      <c r="CN3" s="6" t="s">
        <v>241</v>
      </c>
      <c r="CO3" s="6" t="s">
        <v>242</v>
      </c>
      <c r="CQ3" s="6" t="s">
        <v>64</v>
      </c>
      <c r="CR3" s="6" t="s">
        <v>65</v>
      </c>
      <c r="CT3" s="6" t="s">
        <v>66</v>
      </c>
      <c r="CU3" s="6" t="s">
        <v>67</v>
      </c>
      <c r="CW3" s="6" t="s">
        <v>68</v>
      </c>
      <c r="CX3" s="6" t="s">
        <v>69</v>
      </c>
      <c r="CZ3" s="6" t="s">
        <v>236</v>
      </c>
      <c r="DA3" s="6" t="s">
        <v>70</v>
      </c>
      <c r="DB3" s="6" t="s">
        <v>71</v>
      </c>
      <c r="DD3" s="6" t="s">
        <v>72</v>
      </c>
      <c r="DE3" s="6" t="s">
        <v>73</v>
      </c>
      <c r="DF3" s="6" t="s">
        <v>74</v>
      </c>
    </row>
    <row r="4" spans="1:110" s="1" customFormat="1" ht="19.5" customHeight="1" x14ac:dyDescent="0.25">
      <c r="A4" s="10" t="s">
        <v>75</v>
      </c>
      <c r="B4" s="130"/>
      <c r="C4" s="130"/>
      <c r="D4" s="130"/>
      <c r="E4" s="130"/>
      <c r="F4" s="130"/>
      <c r="G4" s="130"/>
      <c r="H4" s="131"/>
      <c r="I4" s="130" t="s">
        <v>78</v>
      </c>
      <c r="J4" s="130" t="s">
        <v>106</v>
      </c>
      <c r="K4" s="130" t="s">
        <v>78</v>
      </c>
      <c r="L4" s="130" t="s">
        <v>106</v>
      </c>
      <c r="M4" s="130" t="s">
        <v>78</v>
      </c>
      <c r="N4" s="130" t="s">
        <v>106</v>
      </c>
      <c r="O4" s="130"/>
      <c r="P4" s="130" t="s">
        <v>78</v>
      </c>
      <c r="Q4" s="130" t="s">
        <v>106</v>
      </c>
      <c r="R4" s="130" t="s">
        <v>78</v>
      </c>
      <c r="S4" s="130" t="s">
        <v>106</v>
      </c>
      <c r="T4" s="130" t="s">
        <v>78</v>
      </c>
      <c r="U4" s="130" t="s">
        <v>106</v>
      </c>
      <c r="V4" s="130"/>
      <c r="W4" s="130"/>
      <c r="X4" s="130"/>
      <c r="Y4" s="130"/>
      <c r="Z4" s="130"/>
      <c r="AA4" s="132">
        <v>1.0096860000000001</v>
      </c>
      <c r="AB4" s="132">
        <v>1.2860210000000001</v>
      </c>
      <c r="AC4" s="132">
        <v>0.86126800000000003</v>
      </c>
      <c r="AD4" s="130"/>
      <c r="AE4" s="132">
        <v>-4.2465450000000002</v>
      </c>
      <c r="AF4" s="132">
        <v>4.3117460000000003</v>
      </c>
      <c r="AG4" s="132">
        <v>0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2">
        <v>0.61597299999999999</v>
      </c>
      <c r="AR4" s="132">
        <v>5.4389019999999997</v>
      </c>
      <c r="AS4" s="132">
        <v>1.32081</v>
      </c>
      <c r="AT4" s="132">
        <v>-0.41526299999999999</v>
      </c>
      <c r="AU4" s="132">
        <v>-0.72089599999999998</v>
      </c>
      <c r="AV4" s="132">
        <v>-0.44852700000000001</v>
      </c>
      <c r="AW4" s="132">
        <v>0</v>
      </c>
      <c r="AX4" s="132">
        <v>-0.12582399999999999</v>
      </c>
      <c r="AY4" s="132">
        <v>0</v>
      </c>
      <c r="AZ4" s="132"/>
      <c r="BA4" s="132"/>
      <c r="BB4" s="132"/>
      <c r="BC4" s="132"/>
      <c r="BD4" s="133"/>
      <c r="BE4" s="132"/>
      <c r="BF4" s="132"/>
      <c r="BG4" s="132"/>
      <c r="BH4" s="133"/>
      <c r="BI4" s="133"/>
      <c r="BJ4" s="133"/>
      <c r="BK4" s="133"/>
      <c r="BL4" s="130"/>
      <c r="BM4" s="132" t="s">
        <v>76</v>
      </c>
      <c r="BN4" s="132" t="s">
        <v>76</v>
      </c>
      <c r="BO4" s="132" t="s">
        <v>76</v>
      </c>
      <c r="BP4" s="132" t="s">
        <v>77</v>
      </c>
      <c r="BQ4" s="132" t="s">
        <v>77</v>
      </c>
      <c r="BR4" s="132" t="s">
        <v>77</v>
      </c>
      <c r="BS4" s="132" t="s">
        <v>77</v>
      </c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</row>
    <row r="5" spans="1:110" x14ac:dyDescent="0.15">
      <c r="A5" s="12">
        <v>1995</v>
      </c>
      <c r="B5" s="44">
        <v>18155.646067799637</v>
      </c>
      <c r="C5" s="44">
        <v>16614.010080220702</v>
      </c>
      <c r="D5" s="44">
        <v>5980.2447321289064</v>
      </c>
      <c r="E5" s="44"/>
      <c r="F5" s="44">
        <v>2452.0912647278019</v>
      </c>
      <c r="G5" s="44"/>
      <c r="H5" s="134"/>
      <c r="I5" s="44">
        <v>18155.646067799637</v>
      </c>
      <c r="J5" s="44">
        <v>16614.010080220702</v>
      </c>
      <c r="K5" s="44">
        <v>5980.2447321289064</v>
      </c>
      <c r="L5" s="44"/>
      <c r="M5" s="44">
        <v>2452.0912647278019</v>
      </c>
      <c r="N5" s="44"/>
      <c r="O5" s="135"/>
      <c r="P5" s="136">
        <f t="shared" ref="P5:P23" si="0">LN(I5)</f>
        <v>9.8067368694339141</v>
      </c>
      <c r="Q5" s="136">
        <f t="shared" ref="Q5:Q23" si="1">LN(J5)</f>
        <v>9.7180015991293427</v>
      </c>
      <c r="R5" s="136">
        <f t="shared" ref="R5:R23" si="2">LN(K5)</f>
        <v>8.6962167712124359</v>
      </c>
      <c r="S5" s="136"/>
      <c r="T5" s="136">
        <f t="shared" ref="T5:T23" si="3">LN(M5)</f>
        <v>7.8046965168886402</v>
      </c>
      <c r="U5" s="136"/>
      <c r="V5" s="135"/>
      <c r="W5" s="137">
        <v>52.564706667298587</v>
      </c>
      <c r="X5" s="138">
        <v>42239.940730984526</v>
      </c>
      <c r="Y5" s="138">
        <v>3261.25</v>
      </c>
      <c r="Z5" s="136"/>
      <c r="AA5" s="136">
        <f t="shared" ref="AA5:AC25" si="4">LN(W5)</f>
        <v>3.9620449186317157</v>
      </c>
      <c r="AB5" s="136">
        <f t="shared" si="4"/>
        <v>10.651121515230118</v>
      </c>
      <c r="AC5" s="136">
        <f t="shared" si="4"/>
        <v>8.0898658364509384</v>
      </c>
      <c r="AD5" s="136"/>
      <c r="AE5" s="136"/>
      <c r="AF5" s="136"/>
      <c r="AG5" s="136"/>
      <c r="AH5" s="136"/>
      <c r="AI5" s="136">
        <f t="shared" ref="AI5:AI23" si="5">BM5-$AB$4*AB5-$AE$4</f>
        <v>0.26698065699159113</v>
      </c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9"/>
      <c r="AU5" s="139"/>
      <c r="AV5" s="136"/>
      <c r="AW5" s="136"/>
      <c r="AX5" s="136"/>
      <c r="AY5" s="136"/>
      <c r="AZ5" s="136"/>
      <c r="BA5" s="139"/>
      <c r="BB5" s="139"/>
      <c r="BC5" s="136"/>
      <c r="BD5" s="140"/>
      <c r="BE5" s="139"/>
      <c r="BF5" s="139"/>
      <c r="BG5" s="136"/>
      <c r="BH5" s="140"/>
      <c r="BI5" s="140"/>
      <c r="BJ5" s="140"/>
      <c r="BK5" s="140"/>
      <c r="BL5" s="30"/>
      <c r="BM5" s="17">
        <f t="shared" ref="BM5:BM23" si="6">+Q5</f>
        <v>9.7180015991293427</v>
      </c>
      <c r="BN5" s="17"/>
      <c r="BO5" s="17"/>
      <c r="BP5" s="44">
        <f>+EXP(BM5)</f>
        <v>16614.010080220691</v>
      </c>
      <c r="BQ5" s="44"/>
      <c r="BR5" s="44"/>
      <c r="BS5" s="44"/>
      <c r="BT5" s="30"/>
      <c r="BU5" s="136"/>
      <c r="BV5" s="136"/>
      <c r="BW5" s="136"/>
      <c r="BX5" s="30"/>
      <c r="BY5" s="44"/>
      <c r="BZ5" s="44"/>
      <c r="CA5" s="30"/>
      <c r="CB5" s="44"/>
      <c r="CC5" s="44"/>
      <c r="CD5" s="30"/>
      <c r="CE5" s="44"/>
      <c r="CF5" s="44"/>
      <c r="CG5" s="30"/>
      <c r="CH5" s="140">
        <v>25</v>
      </c>
      <c r="CI5" s="140"/>
      <c r="CJ5" s="140"/>
      <c r="CK5" s="140"/>
      <c r="CL5" s="30"/>
      <c r="CM5" s="157">
        <f t="shared" ref="CM5:CM28" si="7">+CH5*BP5/100</f>
        <v>4153.5025200551727</v>
      </c>
      <c r="CN5" s="157"/>
      <c r="CO5" s="157"/>
      <c r="CP5" s="157"/>
      <c r="CQ5" s="44"/>
      <c r="CR5" s="44"/>
      <c r="CS5" s="157"/>
      <c r="CT5" s="44"/>
      <c r="CU5" s="44"/>
      <c r="CV5" s="157"/>
      <c r="CW5" s="44"/>
      <c r="CX5" s="44"/>
      <c r="CY5" s="157"/>
      <c r="CZ5" s="157"/>
      <c r="DA5" s="44"/>
      <c r="DB5" s="44"/>
      <c r="DC5" s="30"/>
      <c r="DD5" s="30"/>
      <c r="DE5" s="30"/>
      <c r="DF5" s="30"/>
    </row>
    <row r="6" spans="1:110" x14ac:dyDescent="0.15">
      <c r="A6" s="12">
        <f>A5+1</f>
        <v>1996</v>
      </c>
      <c r="B6" s="44">
        <v>17730.280741518196</v>
      </c>
      <c r="C6" s="44">
        <v>15823.065212297475</v>
      </c>
      <c r="D6" s="44">
        <v>6424.5789910208805</v>
      </c>
      <c r="E6" s="44"/>
      <c r="F6" s="44">
        <v>2220.4285979529532</v>
      </c>
      <c r="G6" s="44"/>
      <c r="H6" s="134"/>
      <c r="I6" s="44">
        <v>17730.280741518196</v>
      </c>
      <c r="J6" s="44">
        <v>15823.065212297475</v>
      </c>
      <c r="K6" s="44">
        <v>6424.5789910208805</v>
      </c>
      <c r="L6" s="44"/>
      <c r="M6" s="44">
        <v>2220.4285979529532</v>
      </c>
      <c r="N6" s="44"/>
      <c r="O6" s="135"/>
      <c r="P6" s="136">
        <f t="shared" si="0"/>
        <v>9.7830292332078788</v>
      </c>
      <c r="Q6" s="136">
        <f t="shared" si="1"/>
        <v>9.6692239780716402</v>
      </c>
      <c r="R6" s="136">
        <f t="shared" si="2"/>
        <v>8.7678863809270968</v>
      </c>
      <c r="S6" s="136"/>
      <c r="T6" s="136">
        <f t="shared" si="3"/>
        <v>7.7054555183731983</v>
      </c>
      <c r="U6" s="136"/>
      <c r="V6" s="135"/>
      <c r="W6" s="137">
        <v>56.870336256885288</v>
      </c>
      <c r="X6" s="138">
        <v>43581.978487542532</v>
      </c>
      <c r="Y6" s="138">
        <v>4193</v>
      </c>
      <c r="Z6" s="136"/>
      <c r="AA6" s="136">
        <f t="shared" si="4"/>
        <v>4.040773874030001</v>
      </c>
      <c r="AB6" s="136">
        <f t="shared" si="4"/>
        <v>10.682399006447973</v>
      </c>
      <c r="AC6" s="136">
        <f t="shared" si="4"/>
        <v>8.3411717471707618</v>
      </c>
      <c r="AD6" s="136"/>
      <c r="AE6" s="136"/>
      <c r="AF6" s="136"/>
      <c r="AG6" s="136"/>
      <c r="AH6" s="136"/>
      <c r="AI6" s="136">
        <f t="shared" si="5"/>
        <v>0.17797952540041084</v>
      </c>
      <c r="AJ6" s="136"/>
      <c r="AK6" s="136"/>
      <c r="AL6" s="136"/>
      <c r="AM6" s="136">
        <f t="shared" ref="AM6:AM28" si="8">AB6-AB5</f>
        <v>3.1277491217855058E-2</v>
      </c>
      <c r="AN6" s="136">
        <f t="shared" ref="AN6:AN28" si="9">AA6-AA5</f>
        <v>7.8728955398285283E-2</v>
      </c>
      <c r="AO6" s="136">
        <f t="shared" ref="AO6:AO28" si="10">AC6-AC5</f>
        <v>0.25130591071982344</v>
      </c>
      <c r="AP6" s="136"/>
      <c r="AQ6" s="136">
        <f t="shared" ref="AQ6:AQ28" si="11">+AM6*$AQ$4</f>
        <v>1.9266090097935833E-2</v>
      </c>
      <c r="AR6" s="136">
        <f t="shared" ref="AR6:AR28" si="12">+AN6*$AR$4</f>
        <v>0.42819907297364462</v>
      </c>
      <c r="AS6" s="136"/>
      <c r="AT6" s="139">
        <f t="shared" ref="AT6:AT28" si="13">+$AT$4*AI5</f>
        <v>-0.1108671885642991</v>
      </c>
      <c r="AU6" s="139"/>
      <c r="AV6" s="139"/>
      <c r="AW6" s="136">
        <f t="shared" ref="AW6:AW28" si="14">+AW4</f>
        <v>0</v>
      </c>
      <c r="AX6" s="136">
        <f>+$AX$4</f>
        <v>-0.12582399999999999</v>
      </c>
      <c r="AY6" s="136"/>
      <c r="AZ6" s="136"/>
      <c r="BA6" s="139"/>
      <c r="BB6" s="136">
        <f t="shared" ref="BB6:BC28" si="15">+AR6+AU6+AX6</f>
        <v>0.30237507297364463</v>
      </c>
      <c r="BC6" s="139" t="s">
        <v>107</v>
      </c>
      <c r="BD6" s="140"/>
      <c r="BE6" s="139">
        <f t="shared" ref="BE6:BE23" si="16">+(Q6-Q5)-BA6</f>
        <v>-4.8777621057702447E-2</v>
      </c>
      <c r="BF6" s="139"/>
      <c r="BG6" s="139"/>
      <c r="BH6" s="140"/>
      <c r="BI6" s="140">
        <f t="shared" ref="BI6:BI23" si="17">(X6/X5-1)*100</f>
        <v>3.1771771771771817</v>
      </c>
      <c r="BJ6" s="140">
        <f t="shared" ref="BJ6:BJ24" si="18">(W6/W5-1)*100</f>
        <v>8.1911036179439058</v>
      </c>
      <c r="BK6" s="140">
        <f t="shared" ref="BK6:BK24" si="19">(Y6/Y5-1)*100</f>
        <v>28.570333461096208</v>
      </c>
      <c r="BL6" s="30"/>
      <c r="BM6" s="17">
        <f t="shared" si="6"/>
        <v>9.6692239780716402</v>
      </c>
      <c r="BN6" s="17"/>
      <c r="BO6" s="17"/>
      <c r="BP6" s="44">
        <f t="shared" ref="BP6:BR28" si="20">+EXP(BM6)</f>
        <v>15823.065212297473</v>
      </c>
      <c r="BQ6" s="44"/>
      <c r="BR6" s="44"/>
      <c r="BS6" s="44"/>
      <c r="BT6" s="30"/>
      <c r="BU6" s="136"/>
      <c r="BV6" s="136"/>
      <c r="BW6" s="136"/>
      <c r="BX6" s="30"/>
      <c r="BY6" s="44"/>
      <c r="BZ6" s="44"/>
      <c r="CA6" s="30"/>
      <c r="CB6" s="44"/>
      <c r="CC6" s="44"/>
      <c r="CD6" s="30"/>
      <c r="CE6" s="44"/>
      <c r="CF6" s="44"/>
      <c r="CG6" s="30"/>
      <c r="CH6" s="140">
        <v>25</v>
      </c>
      <c r="CI6" s="140"/>
      <c r="CJ6" s="140"/>
      <c r="CK6" s="140"/>
      <c r="CL6" s="30"/>
      <c r="CM6" s="157">
        <f t="shared" si="7"/>
        <v>3955.7663030743688</v>
      </c>
      <c r="CN6" s="157"/>
      <c r="CO6" s="157"/>
      <c r="CP6" s="157"/>
      <c r="CQ6" s="44"/>
      <c r="CR6" s="44"/>
      <c r="CS6" s="157"/>
      <c r="CT6" s="44"/>
      <c r="CU6" s="44"/>
      <c r="CV6" s="157"/>
      <c r="CW6" s="44"/>
      <c r="CX6" s="44"/>
      <c r="CY6" s="157"/>
      <c r="CZ6" s="157"/>
      <c r="DA6" s="44"/>
      <c r="DB6" s="44"/>
      <c r="DC6" s="30"/>
      <c r="DD6" s="30"/>
      <c r="DE6" s="30"/>
      <c r="DF6" s="30"/>
    </row>
    <row r="7" spans="1:110" x14ac:dyDescent="0.15">
      <c r="A7" s="12">
        <f t="shared" ref="A7:A27" si="21">A6+1</f>
        <v>1997</v>
      </c>
      <c r="B7" s="44">
        <v>13882.055883840258</v>
      </c>
      <c r="C7" s="44">
        <v>12420.91126266856</v>
      </c>
      <c r="D7" s="44">
        <v>6779.0078492180837</v>
      </c>
      <c r="E7" s="44"/>
      <c r="F7" s="44">
        <v>4006.9171258940059</v>
      </c>
      <c r="G7" s="44"/>
      <c r="H7" s="134"/>
      <c r="I7" s="44">
        <v>13882.055883840258</v>
      </c>
      <c r="J7" s="44">
        <v>12420.91126266856</v>
      </c>
      <c r="K7" s="44">
        <v>6779.0078492180837</v>
      </c>
      <c r="L7" s="44"/>
      <c r="M7" s="44">
        <v>4006.9171258940059</v>
      </c>
      <c r="N7" s="44"/>
      <c r="O7" s="135"/>
      <c r="P7" s="136">
        <f t="shared" si="0"/>
        <v>9.5383523415246394</v>
      </c>
      <c r="Q7" s="136">
        <f t="shared" si="1"/>
        <v>9.42713672338121</v>
      </c>
      <c r="R7" s="136">
        <f t="shared" si="2"/>
        <v>8.8215860353028557</v>
      </c>
      <c r="S7" s="136"/>
      <c r="T7" s="136">
        <f t="shared" si="3"/>
        <v>8.2957774280898455</v>
      </c>
      <c r="U7" s="136"/>
      <c r="V7" s="135"/>
      <c r="W7" s="137">
        <v>60.603826278130015</v>
      </c>
      <c r="X7" s="138">
        <v>39545.717484359564</v>
      </c>
      <c r="Y7" s="138">
        <v>6360.916666666667</v>
      </c>
      <c r="Z7" s="136"/>
      <c r="AA7" s="136">
        <f t="shared" si="4"/>
        <v>4.1043580309851642</v>
      </c>
      <c r="AB7" s="136">
        <f t="shared" si="4"/>
        <v>10.585212686280128</v>
      </c>
      <c r="AC7" s="136">
        <f t="shared" si="4"/>
        <v>8.7579277759274756</v>
      </c>
      <c r="AD7" s="136"/>
      <c r="AE7" s="136"/>
      <c r="AF7" s="136"/>
      <c r="AG7" s="136"/>
      <c r="AH7" s="136"/>
      <c r="AI7" s="136">
        <f t="shared" si="5"/>
        <v>6.0875919358552188E-2</v>
      </c>
      <c r="AJ7" s="136"/>
      <c r="AK7" s="136"/>
      <c r="AL7" s="136"/>
      <c r="AM7" s="136">
        <f t="shared" si="8"/>
        <v>-9.7186320167844897E-2</v>
      </c>
      <c r="AN7" s="136">
        <f t="shared" si="9"/>
        <v>6.3584156955163174E-2</v>
      </c>
      <c r="AO7" s="136">
        <f t="shared" si="10"/>
        <v>0.4167560287567138</v>
      </c>
      <c r="AP7" s="136"/>
      <c r="AQ7" s="136">
        <f t="shared" si="11"/>
        <v>-5.9864149192747927E-2</v>
      </c>
      <c r="AR7" s="136">
        <f t="shared" si="12"/>
        <v>0.34582799843175088</v>
      </c>
      <c r="AS7" s="136">
        <f t="shared" ref="AS7:AS28" si="22">+AO6*$AS$4</f>
        <v>0.33192735993785</v>
      </c>
      <c r="AT7" s="139">
        <f t="shared" si="13"/>
        <v>-7.3908311656350811E-2</v>
      </c>
      <c r="AU7" s="139"/>
      <c r="AV7" s="139"/>
      <c r="AW7" s="136">
        <f t="shared" si="14"/>
        <v>0</v>
      </c>
      <c r="AX7" s="136">
        <f t="shared" ref="AX7:AX23" si="23">+$AX$4</f>
        <v>-0.12582399999999999</v>
      </c>
      <c r="AY7" s="136">
        <f t="shared" ref="AY7:AY28" si="24">+AY5</f>
        <v>0</v>
      </c>
      <c r="AZ7" s="136"/>
      <c r="BA7" s="139">
        <f t="shared" ref="BA7:BA28" si="25">+AQ7+AT7+AW7</f>
        <v>-0.13377246084909875</v>
      </c>
      <c r="BB7" s="136">
        <f t="shared" si="15"/>
        <v>0.22000399843175089</v>
      </c>
      <c r="BC7" s="139"/>
      <c r="BD7" s="140"/>
      <c r="BE7" s="139">
        <f t="shared" si="16"/>
        <v>-0.1083147938413315</v>
      </c>
      <c r="BF7" s="139"/>
      <c r="BG7" s="139"/>
      <c r="BH7" s="140"/>
      <c r="BI7" s="140">
        <f t="shared" si="17"/>
        <v>-9.2613074102101507</v>
      </c>
      <c r="BJ7" s="140">
        <f t="shared" si="18"/>
        <v>6.5649163816799305</v>
      </c>
      <c r="BK7" s="140">
        <f t="shared" si="19"/>
        <v>51.703235551315686</v>
      </c>
      <c r="BL7" s="30"/>
      <c r="BM7" s="17">
        <f t="shared" si="6"/>
        <v>9.42713672338121</v>
      </c>
      <c r="BN7" s="17"/>
      <c r="BO7" s="17"/>
      <c r="BP7" s="44">
        <f t="shared" si="20"/>
        <v>12420.911262668556</v>
      </c>
      <c r="BQ7" s="44"/>
      <c r="BR7" s="44"/>
      <c r="BS7" s="44"/>
      <c r="BT7" s="30"/>
      <c r="BU7" s="136"/>
      <c r="BV7" s="136"/>
      <c r="BW7" s="136"/>
      <c r="BX7" s="30"/>
      <c r="BY7" s="44"/>
      <c r="BZ7" s="44"/>
      <c r="CA7" s="30"/>
      <c r="CB7" s="44"/>
      <c r="CC7" s="44"/>
      <c r="CD7" s="30"/>
      <c r="CE7" s="44"/>
      <c r="CF7" s="44"/>
      <c r="CG7" s="30"/>
      <c r="CH7" s="140">
        <v>25</v>
      </c>
      <c r="CI7" s="140"/>
      <c r="CJ7" s="140"/>
      <c r="CK7" s="140"/>
      <c r="CL7" s="30"/>
      <c r="CM7" s="157">
        <f t="shared" si="7"/>
        <v>3105.2278156671396</v>
      </c>
      <c r="CN7" s="157"/>
      <c r="CO7" s="157"/>
      <c r="CP7" s="157"/>
      <c r="CQ7" s="44"/>
      <c r="CR7" s="44"/>
      <c r="CS7" s="157"/>
      <c r="CT7" s="44"/>
      <c r="CU7" s="44"/>
      <c r="CV7" s="157"/>
      <c r="CW7" s="44"/>
      <c r="CX7" s="44"/>
      <c r="CY7" s="157"/>
      <c r="CZ7" s="157"/>
      <c r="DA7" s="44"/>
      <c r="DB7" s="44"/>
      <c r="DC7" s="30"/>
      <c r="DD7" s="141"/>
      <c r="DE7" s="141"/>
      <c r="DF7" s="141"/>
    </row>
    <row r="8" spans="1:110" x14ac:dyDescent="0.15">
      <c r="A8" s="12">
        <f t="shared" si="21"/>
        <v>1998</v>
      </c>
      <c r="B8" s="44">
        <v>12211.678778876318</v>
      </c>
      <c r="C8" s="44">
        <v>10895.164805755448</v>
      </c>
      <c r="D8" s="44">
        <v>7213.1435847727589</v>
      </c>
      <c r="E8" s="44">
        <v>3843.0788334355061</v>
      </c>
      <c r="F8" s="44">
        <v>7502.9131273184048</v>
      </c>
      <c r="G8" s="44"/>
      <c r="H8" s="134"/>
      <c r="I8" s="44">
        <v>12211.678778876318</v>
      </c>
      <c r="J8" s="44">
        <v>10895.164805755448</v>
      </c>
      <c r="K8" s="44">
        <v>7213.1435847727589</v>
      </c>
      <c r="L8" s="44">
        <v>3843.0788334355061</v>
      </c>
      <c r="M8" s="44">
        <v>7502.9131273184048</v>
      </c>
      <c r="N8" s="44"/>
      <c r="O8" s="135"/>
      <c r="P8" s="136">
        <f t="shared" si="0"/>
        <v>9.4101480497810375</v>
      </c>
      <c r="Q8" s="136">
        <f t="shared" si="1"/>
        <v>9.2960743739972589</v>
      </c>
      <c r="R8" s="136">
        <f t="shared" si="2"/>
        <v>8.8836601386930045</v>
      </c>
      <c r="S8" s="136">
        <f t="shared" ref="S8:S23" si="26">LN(L8)</f>
        <v>8.2540291038687581</v>
      </c>
      <c r="T8" s="136">
        <f t="shared" si="3"/>
        <v>8.9230466410858433</v>
      </c>
      <c r="U8" s="136"/>
      <c r="V8" s="135"/>
      <c r="W8" s="137">
        <v>63.662636914157446</v>
      </c>
      <c r="X8" s="138">
        <v>37206.66491054769</v>
      </c>
      <c r="Y8" s="138">
        <v>9330.4166666666661</v>
      </c>
      <c r="Z8" s="136"/>
      <c r="AA8" s="136">
        <f t="shared" si="4"/>
        <v>4.1535978428333067</v>
      </c>
      <c r="AB8" s="136">
        <f t="shared" si="4"/>
        <v>10.524243188475273</v>
      </c>
      <c r="AC8" s="136">
        <f t="shared" si="4"/>
        <v>9.1410349516509317</v>
      </c>
      <c r="AD8" s="136"/>
      <c r="AE8" s="136"/>
      <c r="AF8" s="136"/>
      <c r="AG8" s="136"/>
      <c r="AH8" s="136"/>
      <c r="AI8" s="136">
        <f t="shared" si="5"/>
        <v>8.2216245110986463E-3</v>
      </c>
      <c r="AJ8" s="136">
        <f t="shared" ref="AJ8:AJ28" si="27">BN8-$AF$4-$AA$4*AA8</f>
        <v>-0.25154648767023247</v>
      </c>
      <c r="AK8" s="136"/>
      <c r="AL8" s="136"/>
      <c r="AM8" s="136">
        <f t="shared" si="8"/>
        <v>-6.0969497804855166E-2</v>
      </c>
      <c r="AN8" s="136">
        <f t="shared" si="9"/>
        <v>4.9239811848142523E-2</v>
      </c>
      <c r="AO8" s="136">
        <f t="shared" si="10"/>
        <v>0.38310717572345609</v>
      </c>
      <c r="AP8" s="136"/>
      <c r="AQ8" s="136">
        <f t="shared" si="11"/>
        <v>-3.7555564471350049E-2</v>
      </c>
      <c r="AR8" s="136">
        <f t="shared" si="12"/>
        <v>0.26781051114048604</v>
      </c>
      <c r="AS8" s="136">
        <f t="shared" si="22"/>
        <v>0.55045553034215522</v>
      </c>
      <c r="AT8" s="139">
        <f t="shared" si="13"/>
        <v>-2.5279516900590458E-2</v>
      </c>
      <c r="AU8" s="139"/>
      <c r="AV8" s="139"/>
      <c r="AW8" s="136">
        <f t="shared" si="14"/>
        <v>0</v>
      </c>
      <c r="AX8" s="136">
        <f t="shared" si="23"/>
        <v>-0.12582399999999999</v>
      </c>
      <c r="AY8" s="136">
        <f t="shared" si="24"/>
        <v>0</v>
      </c>
      <c r="AZ8" s="136"/>
      <c r="BA8" s="139">
        <f t="shared" si="25"/>
        <v>-6.2835081371940507E-2</v>
      </c>
      <c r="BB8" s="136">
        <f t="shared" si="15"/>
        <v>0.14198651114048605</v>
      </c>
      <c r="BC8" s="139"/>
      <c r="BD8" s="140"/>
      <c r="BE8" s="139">
        <f t="shared" si="16"/>
        <v>-6.8227268012010608E-2</v>
      </c>
      <c r="BF8" s="139"/>
      <c r="BG8" s="139"/>
      <c r="BH8" s="140"/>
      <c r="BI8" s="140">
        <f t="shared" si="17"/>
        <v>-5.9148062612265795</v>
      </c>
      <c r="BJ8" s="140">
        <f t="shared" si="18"/>
        <v>5.0472236224650135</v>
      </c>
      <c r="BK8" s="140">
        <f t="shared" si="19"/>
        <v>46.683523077124619</v>
      </c>
      <c r="BL8" s="30"/>
      <c r="BM8" s="17">
        <f t="shared" si="6"/>
        <v>9.2960743739972589</v>
      </c>
      <c r="BN8" s="17">
        <f t="shared" ref="BN8:BN23" si="28">+S8</f>
        <v>8.2540291038687581</v>
      </c>
      <c r="BO8" s="17"/>
      <c r="BP8" s="44">
        <f t="shared" si="20"/>
        <v>10895.164805755452</v>
      </c>
      <c r="BQ8" s="44">
        <f t="shared" si="20"/>
        <v>3843.0788334355066</v>
      </c>
      <c r="BR8" s="44"/>
      <c r="BS8" s="44"/>
      <c r="BT8" s="30"/>
      <c r="BU8" s="136"/>
      <c r="BV8" s="136"/>
      <c r="BW8" s="136"/>
      <c r="BX8" s="30"/>
      <c r="BY8" s="44"/>
      <c r="BZ8" s="44"/>
      <c r="CA8" s="30"/>
      <c r="CB8" s="44"/>
      <c r="CC8" s="44"/>
      <c r="CD8" s="30"/>
      <c r="CE8" s="44"/>
      <c r="CF8" s="44"/>
      <c r="CG8" s="30"/>
      <c r="CH8" s="140">
        <v>25</v>
      </c>
      <c r="CI8" s="140">
        <v>15</v>
      </c>
      <c r="CJ8" s="140"/>
      <c r="CK8" s="140"/>
      <c r="CL8" s="30"/>
      <c r="CM8" s="157">
        <f t="shared" si="7"/>
        <v>2723.791201438863</v>
      </c>
      <c r="CN8" s="157">
        <f t="shared" ref="CN8:CN28" si="29">+CI8*BQ8/100</f>
        <v>576.46182501532599</v>
      </c>
      <c r="CO8" s="157"/>
      <c r="CP8" s="157"/>
      <c r="CQ8" s="44"/>
      <c r="CR8" s="44"/>
      <c r="CS8" s="157"/>
      <c r="CT8" s="44"/>
      <c r="CU8" s="44"/>
      <c r="CV8" s="157"/>
      <c r="CW8" s="44"/>
      <c r="CX8" s="44"/>
      <c r="CY8" s="157"/>
      <c r="CZ8" s="157"/>
      <c r="DA8" s="44"/>
      <c r="DB8" s="44"/>
      <c r="DC8" s="30"/>
      <c r="DD8" s="141"/>
      <c r="DE8" s="141"/>
      <c r="DF8" s="141"/>
    </row>
    <row r="9" spans="1:110" x14ac:dyDescent="0.15">
      <c r="A9" s="12">
        <f t="shared" si="21"/>
        <v>1999</v>
      </c>
      <c r="B9" s="44">
        <v>11046.277716205088</v>
      </c>
      <c r="C9" s="44">
        <v>9919.1388417243907</v>
      </c>
      <c r="D9" s="44">
        <v>7571.0961642626198</v>
      </c>
      <c r="E9" s="44">
        <v>4944.2692883211921</v>
      </c>
      <c r="F9" s="44">
        <v>9797.715821349153</v>
      </c>
      <c r="G9" s="44">
        <v>3963.4748882117483</v>
      </c>
      <c r="H9" s="134"/>
      <c r="I9" s="44">
        <v>11046.277716205088</v>
      </c>
      <c r="J9" s="44">
        <v>9919.1388417243907</v>
      </c>
      <c r="K9" s="44">
        <v>7571.0961642626198</v>
      </c>
      <c r="L9" s="44">
        <v>4944.2692883211921</v>
      </c>
      <c r="M9" s="44">
        <v>9797.715821349153</v>
      </c>
      <c r="N9" s="44">
        <v>3963.4748882117483</v>
      </c>
      <c r="O9" s="135"/>
      <c r="P9" s="136">
        <f t="shared" si="0"/>
        <v>9.3098487919344262</v>
      </c>
      <c r="Q9" s="136">
        <f t="shared" si="1"/>
        <v>9.2022213862006446</v>
      </c>
      <c r="R9" s="136">
        <f t="shared" si="2"/>
        <v>8.9320931396819496</v>
      </c>
      <c r="S9" s="136">
        <f t="shared" si="26"/>
        <v>8.5059844653567218</v>
      </c>
      <c r="T9" s="136">
        <f t="shared" si="3"/>
        <v>9.1899045580372576</v>
      </c>
      <c r="U9" s="136">
        <f t="shared" ref="U9:U23" si="30">LN(N9)</f>
        <v>8.2848764164962585</v>
      </c>
      <c r="V9" s="135"/>
      <c r="W9" s="137">
        <v>66.040814956788623</v>
      </c>
      <c r="X9" s="138">
        <v>34671</v>
      </c>
      <c r="Y9" s="138">
        <v>10078.916666666668</v>
      </c>
      <c r="Z9" s="136"/>
      <c r="AA9" s="136">
        <f t="shared" si="4"/>
        <v>4.1902729593269159</v>
      </c>
      <c r="AB9" s="136">
        <f t="shared" si="4"/>
        <v>10.453658881643552</v>
      </c>
      <c r="AC9" s="136">
        <f t="shared" si="4"/>
        <v>9.2182010623046917</v>
      </c>
      <c r="AD9" s="136"/>
      <c r="AE9" s="136"/>
      <c r="AF9" s="136"/>
      <c r="AG9" s="136"/>
      <c r="AH9" s="136"/>
      <c r="AI9" s="136">
        <f t="shared" si="5"/>
        <v>5.1415375705223809E-3</v>
      </c>
      <c r="AJ9" s="136">
        <f t="shared" si="27"/>
        <v>-3.6621477854235529E-2</v>
      </c>
      <c r="AK9" s="136">
        <f t="shared" ref="AK9:AK28" si="31">BO9-$AC$4*AC9-$AG$4</f>
        <v>0.34553482396722135</v>
      </c>
      <c r="AL9" s="136"/>
      <c r="AM9" s="136">
        <f t="shared" si="8"/>
        <v>-7.0584306831721122E-2</v>
      </c>
      <c r="AN9" s="136">
        <f t="shared" si="9"/>
        <v>3.6675116493609217E-2</v>
      </c>
      <c r="AO9" s="136">
        <f t="shared" si="10"/>
        <v>7.7166110653760001E-2</v>
      </c>
      <c r="AP9" s="136"/>
      <c r="AQ9" s="136">
        <f t="shared" si="11"/>
        <v>-4.3478027232055752E-2</v>
      </c>
      <c r="AR9" s="136">
        <f t="shared" si="12"/>
        <v>0.19947236444732414</v>
      </c>
      <c r="AS9" s="136">
        <f t="shared" si="22"/>
        <v>0.50601178876729802</v>
      </c>
      <c r="AT9" s="139">
        <f t="shared" si="13"/>
        <v>-3.4141364593523573E-3</v>
      </c>
      <c r="AU9" s="139">
        <f t="shared" ref="AU9:AU28" si="32">+$AU$4*AJ8</f>
        <v>0.18133885677551989</v>
      </c>
      <c r="AV9" s="139"/>
      <c r="AW9" s="136">
        <f t="shared" si="14"/>
        <v>0</v>
      </c>
      <c r="AX9" s="136">
        <f t="shared" si="23"/>
        <v>-0.12582399999999999</v>
      </c>
      <c r="AY9" s="136">
        <f t="shared" si="24"/>
        <v>0</v>
      </c>
      <c r="AZ9" s="136"/>
      <c r="BA9" s="139">
        <f t="shared" si="25"/>
        <v>-4.6892163691408112E-2</v>
      </c>
      <c r="BB9" s="136">
        <f t="shared" si="15"/>
        <v>0.25498722122284406</v>
      </c>
      <c r="BC9" s="139"/>
      <c r="BD9" s="140"/>
      <c r="BE9" s="139">
        <f t="shared" si="16"/>
        <v>-4.6960824105206217E-2</v>
      </c>
      <c r="BF9" s="139">
        <f t="shared" ref="BF9:BF23" si="33">+(S9-S8)-BB9</f>
        <v>-3.0318597348803489E-3</v>
      </c>
      <c r="BG9" s="139"/>
      <c r="BH9" s="140"/>
      <c r="BI9" s="140">
        <f t="shared" si="17"/>
        <v>-6.815082503750169</v>
      </c>
      <c r="BJ9" s="140">
        <f t="shared" si="18"/>
        <v>3.7355946248942118</v>
      </c>
      <c r="BK9" s="140">
        <f t="shared" si="19"/>
        <v>8.0221497789487941</v>
      </c>
      <c r="BL9" s="30"/>
      <c r="BM9" s="17">
        <f t="shared" si="6"/>
        <v>9.2022213862006446</v>
      </c>
      <c r="BN9" s="17">
        <f t="shared" si="28"/>
        <v>8.5059844653567218</v>
      </c>
      <c r="BO9" s="17">
        <f t="shared" ref="BO9:BO23" si="34">+U9</f>
        <v>8.2848764164962585</v>
      </c>
      <c r="BP9" s="44">
        <f t="shared" si="20"/>
        <v>9919.1388417243943</v>
      </c>
      <c r="BQ9" s="44">
        <f t="shared" si="20"/>
        <v>4944.2692883211921</v>
      </c>
      <c r="BR9" s="44">
        <f t="shared" si="20"/>
        <v>3963.4748882117478</v>
      </c>
      <c r="BS9" s="44">
        <f>+SUM(BP9:BR9)</f>
        <v>18826.883018257337</v>
      </c>
      <c r="BT9" s="30"/>
      <c r="BU9" s="136"/>
      <c r="BV9" s="136"/>
      <c r="BW9" s="136"/>
      <c r="BX9" s="30"/>
      <c r="BY9" s="44"/>
      <c r="BZ9" s="44"/>
      <c r="CA9" s="30"/>
      <c r="CB9" s="44"/>
      <c r="CC9" s="44"/>
      <c r="CD9" s="30"/>
      <c r="CE9" s="44"/>
      <c r="CF9" s="44"/>
      <c r="CG9" s="30"/>
      <c r="CH9" s="140">
        <v>20.602435531626845</v>
      </c>
      <c r="CI9" s="140">
        <v>17.943000000000001</v>
      </c>
      <c r="CJ9" s="140">
        <v>20</v>
      </c>
      <c r="CK9" s="140">
        <f t="shared" ref="CK9:CK28" si="35">+SUM(CM9:CO9)/(J9+L9+N9)*100</f>
        <v>19.777195181984499</v>
      </c>
      <c r="CL9" s="30"/>
      <c r="CM9" s="157">
        <f t="shared" si="7"/>
        <v>2043.5841851588259</v>
      </c>
      <c r="CN9" s="157">
        <f t="shared" si="29"/>
        <v>887.15023840347158</v>
      </c>
      <c r="CO9" s="157">
        <f t="shared" ref="CO9:CO28" si="36">+CJ9*BR9/100</f>
        <v>792.6949776423495</v>
      </c>
      <c r="CP9" s="157"/>
      <c r="CQ9" s="44"/>
      <c r="CR9" s="44"/>
      <c r="CS9" s="157"/>
      <c r="CT9" s="44"/>
      <c r="CU9" s="44"/>
      <c r="CV9" s="157"/>
      <c r="CW9" s="44"/>
      <c r="CX9" s="44"/>
      <c r="CY9" s="157"/>
      <c r="CZ9" s="157">
        <f t="shared" ref="CZ9:CZ28" si="37">+CM9+CN9+CO9</f>
        <v>3723.4294012046471</v>
      </c>
      <c r="DA9" s="44"/>
      <c r="DB9" s="44"/>
      <c r="DC9" s="30"/>
      <c r="DD9" s="141"/>
      <c r="DE9" s="141"/>
      <c r="DF9" s="141"/>
    </row>
    <row r="10" spans="1:110" x14ac:dyDescent="0.15">
      <c r="A10" s="12">
        <f t="shared" si="21"/>
        <v>2000</v>
      </c>
      <c r="B10" s="44">
        <v>11948.37094895828</v>
      </c>
      <c r="C10" s="44">
        <v>10290.39352349981</v>
      </c>
      <c r="D10" s="44">
        <v>8086.6250590253994</v>
      </c>
      <c r="E10" s="44">
        <v>5586.0121556783461</v>
      </c>
      <c r="F10" s="44">
        <v>11619.113097817997</v>
      </c>
      <c r="G10" s="44">
        <v>5032.6052418694526</v>
      </c>
      <c r="H10" s="134"/>
      <c r="I10" s="44">
        <v>11948.37094895828</v>
      </c>
      <c r="J10" s="44">
        <v>10290.39352349981</v>
      </c>
      <c r="K10" s="44">
        <v>8086.6250590253994</v>
      </c>
      <c r="L10" s="44">
        <v>5586.0121556783461</v>
      </c>
      <c r="M10" s="44">
        <v>11619.113097817997</v>
      </c>
      <c r="N10" s="44">
        <v>5032.6052418694526</v>
      </c>
      <c r="O10" s="135"/>
      <c r="P10" s="136">
        <f t="shared" si="0"/>
        <v>9.388350225804027</v>
      </c>
      <c r="Q10" s="136">
        <f t="shared" si="1"/>
        <v>9.2389660713912818</v>
      </c>
      <c r="R10" s="136">
        <f t="shared" si="2"/>
        <v>8.9979667486013692</v>
      </c>
      <c r="S10" s="136">
        <f t="shared" si="26"/>
        <v>8.6280209225998448</v>
      </c>
      <c r="T10" s="136">
        <f t="shared" si="3"/>
        <v>9.3604067020039796</v>
      </c>
      <c r="U10" s="136">
        <f t="shared" si="30"/>
        <v>8.5236930697382949</v>
      </c>
      <c r="V10" s="135"/>
      <c r="W10" s="137">
        <v>68.628925007451912</v>
      </c>
      <c r="X10" s="138">
        <v>43978</v>
      </c>
      <c r="Y10" s="138">
        <v>10762.275000000001</v>
      </c>
      <c r="Z10" s="136"/>
      <c r="AA10" s="136">
        <f t="shared" si="4"/>
        <v>4.2287140932025293</v>
      </c>
      <c r="AB10" s="136">
        <f t="shared" si="4"/>
        <v>10.691444787858716</v>
      </c>
      <c r="AC10" s="136">
        <f t="shared" si="4"/>
        <v>9.2838022425941098</v>
      </c>
      <c r="AD10" s="136"/>
      <c r="AE10" s="136"/>
      <c r="AF10" s="136"/>
      <c r="AG10" s="136"/>
      <c r="AH10" s="136"/>
      <c r="AI10" s="136">
        <f t="shared" si="5"/>
        <v>-0.26391144613557227</v>
      </c>
      <c r="AJ10" s="136">
        <f t="shared" si="27"/>
        <v>4.6601504690555018E-2</v>
      </c>
      <c r="AK10" s="136">
        <f t="shared" si="31"/>
        <v>0.52785127986375091</v>
      </c>
      <c r="AL10" s="136"/>
      <c r="AM10" s="136">
        <f t="shared" si="8"/>
        <v>0.23778590621516393</v>
      </c>
      <c r="AN10" s="136">
        <f t="shared" si="9"/>
        <v>3.8441133875613431E-2</v>
      </c>
      <c r="AO10" s="136">
        <f t="shared" si="10"/>
        <v>6.5601180289418082E-2</v>
      </c>
      <c r="AP10" s="136"/>
      <c r="AQ10" s="136">
        <f t="shared" si="11"/>
        <v>0.14646969800907317</v>
      </c>
      <c r="AR10" s="136">
        <f t="shared" si="12"/>
        <v>0.20907755991834162</v>
      </c>
      <c r="AS10" s="136">
        <f t="shared" si="22"/>
        <v>0.10192177061259275</v>
      </c>
      <c r="AT10" s="139">
        <f t="shared" si="13"/>
        <v>-2.1350903161478354E-3</v>
      </c>
      <c r="AU10" s="139">
        <f t="shared" si="32"/>
        <v>2.6400276899206977E-2</v>
      </c>
      <c r="AV10" s="139">
        <f t="shared" ref="AV10:AV28" si="38">+$AV$4*AK9</f>
        <v>-0.15498169798954589</v>
      </c>
      <c r="AW10" s="136">
        <f t="shared" si="14"/>
        <v>0</v>
      </c>
      <c r="AX10" s="136">
        <f t="shared" si="23"/>
        <v>-0.12582399999999999</v>
      </c>
      <c r="AY10" s="136">
        <f t="shared" si="24"/>
        <v>0</v>
      </c>
      <c r="AZ10" s="136"/>
      <c r="BA10" s="139">
        <f t="shared" si="25"/>
        <v>0.14433460769292533</v>
      </c>
      <c r="BB10" s="136">
        <f t="shared" si="15"/>
        <v>0.10965383681754862</v>
      </c>
      <c r="BC10" s="136">
        <f t="shared" si="15"/>
        <v>-5.3059927376953142E-2</v>
      </c>
      <c r="BD10" s="140"/>
      <c r="BE10" s="139">
        <f t="shared" si="16"/>
        <v>-0.1075899225022881</v>
      </c>
      <c r="BF10" s="139">
        <f t="shared" si="33"/>
        <v>1.2382620425574337E-2</v>
      </c>
      <c r="BG10" s="139">
        <f t="shared" ref="BG10:BG23" si="39">+(U10-U9)-BC10</f>
        <v>0.29187658061898952</v>
      </c>
      <c r="BH10" s="140"/>
      <c r="BI10" s="140">
        <f t="shared" si="17"/>
        <v>26.843759914626062</v>
      </c>
      <c r="BJ10" s="140">
        <f t="shared" si="18"/>
        <v>3.9189553495921015</v>
      </c>
      <c r="BK10" s="140">
        <f t="shared" si="19"/>
        <v>6.7800772239079876</v>
      </c>
      <c r="BL10" s="30"/>
      <c r="BM10" s="17">
        <f t="shared" si="6"/>
        <v>9.2389660713912818</v>
      </c>
      <c r="BN10" s="17">
        <f t="shared" si="28"/>
        <v>8.6280209225998448</v>
      </c>
      <c r="BO10" s="17">
        <f t="shared" si="34"/>
        <v>8.5236930697382949</v>
      </c>
      <c r="BP10" s="44">
        <f t="shared" si="20"/>
        <v>10290.393523499815</v>
      </c>
      <c r="BQ10" s="44">
        <f t="shared" si="20"/>
        <v>5586.012155678347</v>
      </c>
      <c r="BR10" s="44">
        <f t="shared" si="20"/>
        <v>5032.6052418694499</v>
      </c>
      <c r="BS10" s="44">
        <f t="shared" ref="BS10:BS28" si="40">+SUM(BP10:BR10)</f>
        <v>20909.010921047611</v>
      </c>
      <c r="BT10" s="30"/>
      <c r="BU10" s="136"/>
      <c r="BV10" s="136"/>
      <c r="BW10" s="136"/>
      <c r="BX10" s="30"/>
      <c r="BY10" s="44"/>
      <c r="BZ10" s="44"/>
      <c r="CA10" s="30"/>
      <c r="CB10" s="44"/>
      <c r="CC10" s="44"/>
      <c r="CD10" s="30"/>
      <c r="CE10" s="44"/>
      <c r="CF10" s="44"/>
      <c r="CG10" s="30"/>
      <c r="CH10" s="140">
        <v>18.000000000000004</v>
      </c>
      <c r="CI10" s="140">
        <v>16.492000000000001</v>
      </c>
      <c r="CJ10" s="140">
        <v>19.27</v>
      </c>
      <c r="CK10" s="140">
        <f t="shared" si="35"/>
        <v>17.902802782911991</v>
      </c>
      <c r="CL10" s="30"/>
      <c r="CM10" s="157">
        <f t="shared" si="7"/>
        <v>1852.2708342299672</v>
      </c>
      <c r="CN10" s="157">
        <f t="shared" si="29"/>
        <v>921.24512471447304</v>
      </c>
      <c r="CO10" s="157">
        <f t="shared" si="36"/>
        <v>969.783030108243</v>
      </c>
      <c r="CP10" s="157"/>
      <c r="CQ10" s="44"/>
      <c r="CR10" s="44"/>
      <c r="CS10" s="157"/>
      <c r="CT10" s="44"/>
      <c r="CU10" s="44"/>
      <c r="CV10" s="157"/>
      <c r="CW10" s="44"/>
      <c r="CX10" s="44"/>
      <c r="CY10" s="157"/>
      <c r="CZ10" s="157">
        <f t="shared" si="37"/>
        <v>3743.2989890526833</v>
      </c>
      <c r="DA10" s="44"/>
      <c r="DB10" s="44"/>
      <c r="DC10" s="30"/>
      <c r="DD10" s="141"/>
      <c r="DE10" s="141"/>
      <c r="DF10" s="141"/>
    </row>
    <row r="11" spans="1:110" x14ac:dyDescent="0.15">
      <c r="A11" s="12">
        <f t="shared" si="21"/>
        <v>2001</v>
      </c>
      <c r="B11" s="44">
        <v>14174.55264670824</v>
      </c>
      <c r="C11" s="44">
        <v>12377.378853341575</v>
      </c>
      <c r="D11" s="44">
        <v>8607.6588464100005</v>
      </c>
      <c r="E11" s="44">
        <v>5840.5885026666674</v>
      </c>
      <c r="F11" s="44">
        <v>9277.8901899333323</v>
      </c>
      <c r="G11" s="44">
        <v>2985.2905833333348</v>
      </c>
      <c r="H11" s="134"/>
      <c r="I11" s="44">
        <v>14174.55264670824</v>
      </c>
      <c r="J11" s="44">
        <v>12377.378853341575</v>
      </c>
      <c r="K11" s="44">
        <v>8607.6588464100005</v>
      </c>
      <c r="L11" s="44">
        <v>5840.5885026666674</v>
      </c>
      <c r="M11" s="44">
        <v>9277.8901899333323</v>
      </c>
      <c r="N11" s="44">
        <v>2985.2905833333348</v>
      </c>
      <c r="O11" s="135"/>
      <c r="P11" s="136">
        <f t="shared" si="0"/>
        <v>9.5592035687828325</v>
      </c>
      <c r="Q11" s="136">
        <f t="shared" si="1"/>
        <v>9.4236257995360191</v>
      </c>
      <c r="R11" s="136">
        <f t="shared" si="2"/>
        <v>9.0604076494612187</v>
      </c>
      <c r="S11" s="136">
        <f t="shared" si="26"/>
        <v>8.6725868417497818</v>
      </c>
      <c r="T11" s="136">
        <f t="shared" si="3"/>
        <v>9.1353894497095656</v>
      </c>
      <c r="U11" s="136">
        <f t="shared" si="30"/>
        <v>8.0014523689390717</v>
      </c>
      <c r="V11" s="135"/>
      <c r="W11" s="137">
        <v>71.585022774859127</v>
      </c>
      <c r="X11" s="138">
        <v>47049</v>
      </c>
      <c r="Y11" s="138">
        <v>8813.9583333333321</v>
      </c>
      <c r="Z11" s="136"/>
      <c r="AA11" s="136">
        <f t="shared" si="4"/>
        <v>4.2708858729635164</v>
      </c>
      <c r="AB11" s="136">
        <f t="shared" si="4"/>
        <v>10.758944890802534</v>
      </c>
      <c r="AC11" s="136">
        <f t="shared" si="4"/>
        <v>9.084091918063022</v>
      </c>
      <c r="AD11" s="136"/>
      <c r="AE11" s="136"/>
      <c r="AF11" s="136"/>
      <c r="AG11" s="136"/>
      <c r="AH11" s="136"/>
      <c r="AI11" s="136">
        <f t="shared" si="5"/>
        <v>-0.16605826787874722</v>
      </c>
      <c r="AJ11" s="136">
        <f t="shared" si="27"/>
        <v>4.858716822073994E-2</v>
      </c>
      <c r="AK11" s="136">
        <f t="shared" si="31"/>
        <v>0.17761469085276893</v>
      </c>
      <c r="AL11" s="136"/>
      <c r="AM11" s="136">
        <f t="shared" si="8"/>
        <v>6.7500102943817808E-2</v>
      </c>
      <c r="AN11" s="136">
        <f t="shared" si="9"/>
        <v>4.2171779760987071E-2</v>
      </c>
      <c r="AO11" s="136">
        <f t="shared" si="10"/>
        <v>-0.19971032453108783</v>
      </c>
      <c r="AP11" s="136"/>
      <c r="AQ11" s="136">
        <f t="shared" si="11"/>
        <v>4.1578240910612289E-2</v>
      </c>
      <c r="AR11" s="136">
        <f t="shared" si="12"/>
        <v>0.22936817728559208</v>
      </c>
      <c r="AS11" s="136">
        <f t="shared" si="22"/>
        <v>8.6646694938066302E-2</v>
      </c>
      <c r="AT11" s="139">
        <f t="shared" si="13"/>
        <v>0.10959265885659615</v>
      </c>
      <c r="AU11" s="139">
        <f t="shared" si="32"/>
        <v>-3.3594838325402346E-2</v>
      </c>
      <c r="AV11" s="139">
        <f t="shared" si="38"/>
        <v>-0.23675555100344861</v>
      </c>
      <c r="AW11" s="136">
        <f t="shared" si="14"/>
        <v>0</v>
      </c>
      <c r="AX11" s="136">
        <f t="shared" si="23"/>
        <v>-0.12582399999999999</v>
      </c>
      <c r="AY11" s="136">
        <f t="shared" si="24"/>
        <v>0</v>
      </c>
      <c r="AZ11" s="136"/>
      <c r="BA11" s="139">
        <f t="shared" si="25"/>
        <v>0.15117089976720843</v>
      </c>
      <c r="BB11" s="136">
        <f t="shared" si="15"/>
        <v>6.9949338960189733E-2</v>
      </c>
      <c r="BC11" s="136">
        <f t="shared" si="15"/>
        <v>-0.15010885606538232</v>
      </c>
      <c r="BD11" s="140"/>
      <c r="BE11" s="139">
        <f t="shared" si="16"/>
        <v>3.3488828377528868E-2</v>
      </c>
      <c r="BF11" s="139">
        <f t="shared" si="33"/>
        <v>-2.5383419810252716E-2</v>
      </c>
      <c r="BG11" s="139">
        <f t="shared" si="39"/>
        <v>-0.37213184473384081</v>
      </c>
      <c r="BH11" s="140"/>
      <c r="BI11" s="140">
        <f t="shared" si="17"/>
        <v>6.9830369730319752</v>
      </c>
      <c r="BJ11" s="140">
        <f t="shared" si="18"/>
        <v>4.307364230295363</v>
      </c>
      <c r="BK11" s="140">
        <f t="shared" si="19"/>
        <v>-18.103204635327288</v>
      </c>
      <c r="BL11" s="30"/>
      <c r="BM11" s="17">
        <f t="shared" si="6"/>
        <v>9.4236257995360191</v>
      </c>
      <c r="BN11" s="17">
        <f t="shared" si="28"/>
        <v>8.6725868417497818</v>
      </c>
      <c r="BO11" s="17">
        <f t="shared" si="34"/>
        <v>8.0014523689390717</v>
      </c>
      <c r="BP11" s="44">
        <f t="shared" si="20"/>
        <v>12377.378853341583</v>
      </c>
      <c r="BQ11" s="44">
        <f t="shared" si="20"/>
        <v>5840.5885026666638</v>
      </c>
      <c r="BR11" s="44">
        <f t="shared" si="20"/>
        <v>2985.2905833333357</v>
      </c>
      <c r="BS11" s="44">
        <f t="shared" si="40"/>
        <v>21203.25793934158</v>
      </c>
      <c r="BT11" s="30"/>
      <c r="BU11" s="136"/>
      <c r="BV11" s="136"/>
      <c r="BW11" s="136"/>
      <c r="BX11" s="30"/>
      <c r="BY11" s="44"/>
      <c r="BZ11" s="44"/>
      <c r="CA11" s="30"/>
      <c r="CB11" s="44"/>
      <c r="CC11" s="44"/>
      <c r="CD11" s="30"/>
      <c r="CE11" s="44"/>
      <c r="CF11" s="44"/>
      <c r="CG11" s="30"/>
      <c r="CH11" s="140">
        <v>18</v>
      </c>
      <c r="CI11" s="140">
        <v>15</v>
      </c>
      <c r="CJ11" s="140">
        <v>18</v>
      </c>
      <c r="CK11" s="140">
        <f t="shared" si="35"/>
        <v>17.17362862074657</v>
      </c>
      <c r="CL11" s="30"/>
      <c r="CM11" s="157">
        <f t="shared" si="7"/>
        <v>2227.928193601485</v>
      </c>
      <c r="CN11" s="157">
        <f t="shared" si="29"/>
        <v>876.08827539999959</v>
      </c>
      <c r="CO11" s="157">
        <f t="shared" si="36"/>
        <v>537.35230500000046</v>
      </c>
      <c r="CP11" s="157"/>
      <c r="CQ11" s="44"/>
      <c r="CR11" s="44"/>
      <c r="CS11" s="157"/>
      <c r="CT11" s="44"/>
      <c r="CU11" s="44"/>
      <c r="CV11" s="157"/>
      <c r="CW11" s="44"/>
      <c r="CX11" s="44"/>
      <c r="CY11" s="157"/>
      <c r="CZ11" s="157">
        <f t="shared" si="37"/>
        <v>3641.3687740014848</v>
      </c>
      <c r="DA11" s="44"/>
      <c r="DB11" s="44"/>
      <c r="DC11" s="30"/>
      <c r="DD11" s="141"/>
      <c r="DE11" s="141"/>
      <c r="DF11" s="141"/>
    </row>
    <row r="12" spans="1:110" x14ac:dyDescent="0.15">
      <c r="A12" s="12">
        <f t="shared" si="21"/>
        <v>2002</v>
      </c>
      <c r="B12" s="44">
        <v>13685.127029961408</v>
      </c>
      <c r="C12" s="44">
        <v>11969.443968290298</v>
      </c>
      <c r="D12" s="44">
        <v>9125.8045754499999</v>
      </c>
      <c r="E12" s="44">
        <v>6231.5387542666676</v>
      </c>
      <c r="F12" s="44">
        <v>8858.6161521100021</v>
      </c>
      <c r="G12" s="44">
        <v>2503.2136931666669</v>
      </c>
      <c r="H12" s="134"/>
      <c r="I12" s="44">
        <v>13685.127029961408</v>
      </c>
      <c r="J12" s="44">
        <v>11969.443968290298</v>
      </c>
      <c r="K12" s="44">
        <v>9125.8045754499999</v>
      </c>
      <c r="L12" s="44">
        <v>6231.5387542666676</v>
      </c>
      <c r="M12" s="44">
        <v>8858.6161521100021</v>
      </c>
      <c r="N12" s="44">
        <v>2503.2136931666669</v>
      </c>
      <c r="O12" s="135"/>
      <c r="P12" s="136">
        <f t="shared" si="0"/>
        <v>9.5240649038548923</v>
      </c>
      <c r="Q12" s="136">
        <f t="shared" si="1"/>
        <v>9.3901123453670134</v>
      </c>
      <c r="R12" s="136">
        <f t="shared" si="2"/>
        <v>9.118861347215768</v>
      </c>
      <c r="S12" s="136">
        <f t="shared" si="26"/>
        <v>8.7373785723382706</v>
      </c>
      <c r="T12" s="136">
        <f t="shared" si="3"/>
        <v>9.0891458408933481</v>
      </c>
      <c r="U12" s="136">
        <f t="shared" si="30"/>
        <v>7.8253306626044381</v>
      </c>
      <c r="V12" s="135"/>
      <c r="W12" s="137">
        <v>74.667734295209385</v>
      </c>
      <c r="X12" s="138">
        <v>42424</v>
      </c>
      <c r="Y12" s="138">
        <v>7035.958333333333</v>
      </c>
      <c r="Z12" s="136"/>
      <c r="AA12" s="136">
        <f t="shared" si="4"/>
        <v>4.3130480616812603</v>
      </c>
      <c r="AB12" s="136">
        <f t="shared" si="4"/>
        <v>10.655469518816966</v>
      </c>
      <c r="AC12" s="136">
        <f t="shared" si="4"/>
        <v>8.8587891839145776</v>
      </c>
      <c r="AD12" s="136"/>
      <c r="AE12" s="136"/>
      <c r="AF12" s="136"/>
      <c r="AG12" s="136"/>
      <c r="AH12" s="136"/>
      <c r="AI12" s="136">
        <f t="shared" si="5"/>
        <v>-6.6500220691501077E-2</v>
      </c>
      <c r="AJ12" s="136">
        <f t="shared" si="27"/>
        <v>7.080832713156493E-2</v>
      </c>
      <c r="AK12" s="136">
        <f t="shared" si="31"/>
        <v>0.19553901975269739</v>
      </c>
      <c r="AL12" s="136"/>
      <c r="AM12" s="136">
        <f t="shared" si="8"/>
        <v>-0.10347537198556722</v>
      </c>
      <c r="AN12" s="136">
        <f t="shared" si="9"/>
        <v>4.2162188717743909E-2</v>
      </c>
      <c r="AO12" s="136">
        <f t="shared" si="10"/>
        <v>-0.22530273414844437</v>
      </c>
      <c r="AP12" s="136"/>
      <c r="AQ12" s="136">
        <f t="shared" si="11"/>
        <v>-6.3738035308065794E-2</v>
      </c>
      <c r="AR12" s="136">
        <f t="shared" si="12"/>
        <v>0.22931601254131476</v>
      </c>
      <c r="AS12" s="136">
        <f t="shared" si="22"/>
        <v>-0.26377939374390613</v>
      </c>
      <c r="AT12" s="139">
        <f t="shared" si="13"/>
        <v>6.8957854494132206E-2</v>
      </c>
      <c r="AU12" s="139">
        <f t="shared" si="32"/>
        <v>-3.5026295221658538E-2</v>
      </c>
      <c r="AV12" s="139">
        <f t="shared" si="38"/>
        <v>-7.9664984444119888E-2</v>
      </c>
      <c r="AW12" s="136">
        <f t="shared" si="14"/>
        <v>0</v>
      </c>
      <c r="AX12" s="136">
        <f t="shared" si="23"/>
        <v>-0.12582399999999999</v>
      </c>
      <c r="AY12" s="136">
        <f t="shared" si="24"/>
        <v>0</v>
      </c>
      <c r="AZ12" s="136"/>
      <c r="BA12" s="139">
        <f t="shared" si="25"/>
        <v>5.2198191860664128E-3</v>
      </c>
      <c r="BB12" s="136">
        <f t="shared" si="15"/>
        <v>6.8465717319656227E-2</v>
      </c>
      <c r="BC12" s="136">
        <f t="shared" si="15"/>
        <v>-0.34344437818802603</v>
      </c>
      <c r="BD12" s="140"/>
      <c r="BE12" s="139">
        <f t="shared" si="16"/>
        <v>-3.8733273355072054E-2</v>
      </c>
      <c r="BF12" s="139">
        <f t="shared" si="33"/>
        <v>-3.6739867311673668E-3</v>
      </c>
      <c r="BG12" s="139">
        <f t="shared" si="39"/>
        <v>0.16732267185339239</v>
      </c>
      <c r="BH12" s="140"/>
      <c r="BI12" s="140">
        <f t="shared" si="17"/>
        <v>-9.8301770494590777</v>
      </c>
      <c r="BJ12" s="140">
        <f t="shared" si="18"/>
        <v>4.3063638186519038</v>
      </c>
      <c r="BK12" s="140">
        <f t="shared" si="19"/>
        <v>-20.172548278062731</v>
      </c>
      <c r="BL12" s="30"/>
      <c r="BM12" s="17">
        <f t="shared" si="6"/>
        <v>9.3901123453670134</v>
      </c>
      <c r="BN12" s="17">
        <f t="shared" si="28"/>
        <v>8.7373785723382706</v>
      </c>
      <c r="BO12" s="17">
        <f t="shared" si="34"/>
        <v>7.8253306626044381</v>
      </c>
      <c r="BP12" s="44">
        <f t="shared" si="20"/>
        <v>11969.443968290307</v>
      </c>
      <c r="BQ12" s="44">
        <f t="shared" si="20"/>
        <v>6231.5387542666731</v>
      </c>
      <c r="BR12" s="44">
        <f t="shared" si="20"/>
        <v>2503.213693166666</v>
      </c>
      <c r="BS12" s="44">
        <f t="shared" si="40"/>
        <v>20704.196415723643</v>
      </c>
      <c r="BT12" s="30"/>
      <c r="BU12" s="136"/>
      <c r="BV12" s="136"/>
      <c r="BW12" s="136"/>
      <c r="BX12" s="30"/>
      <c r="BY12" s="44"/>
      <c r="BZ12" s="44"/>
      <c r="CA12" s="30"/>
      <c r="CB12" s="44"/>
      <c r="CC12" s="44"/>
      <c r="CD12" s="30"/>
      <c r="CE12" s="44"/>
      <c r="CF12" s="44"/>
      <c r="CG12" s="30"/>
      <c r="CH12" s="140">
        <v>18</v>
      </c>
      <c r="CI12" s="140">
        <v>15</v>
      </c>
      <c r="CJ12" s="140">
        <v>18</v>
      </c>
      <c r="CK12" s="140">
        <f t="shared" si="35"/>
        <v>17.097061489978799</v>
      </c>
      <c r="CL12" s="30"/>
      <c r="CM12" s="157">
        <f t="shared" si="7"/>
        <v>2154.4999142922552</v>
      </c>
      <c r="CN12" s="157">
        <f t="shared" si="29"/>
        <v>934.73081314000092</v>
      </c>
      <c r="CO12" s="157">
        <f t="shared" si="36"/>
        <v>450.57846476999987</v>
      </c>
      <c r="CP12" s="157"/>
      <c r="CQ12" s="44"/>
      <c r="CR12" s="44"/>
      <c r="CS12" s="157"/>
      <c r="CT12" s="44"/>
      <c r="CU12" s="44"/>
      <c r="CV12" s="157"/>
      <c r="CW12" s="44"/>
      <c r="CX12" s="44"/>
      <c r="CY12" s="157"/>
      <c r="CZ12" s="157">
        <f t="shared" si="37"/>
        <v>3539.8091922022559</v>
      </c>
      <c r="DA12" s="44"/>
      <c r="DB12" s="44"/>
      <c r="DC12" s="30"/>
      <c r="DD12" s="141"/>
      <c r="DE12" s="141"/>
      <c r="DF12" s="141"/>
    </row>
    <row r="13" spans="1:110" x14ac:dyDescent="0.15">
      <c r="A13" s="12">
        <f t="shared" si="21"/>
        <v>2003</v>
      </c>
      <c r="B13" s="44">
        <v>13748.940126571852</v>
      </c>
      <c r="C13" s="44">
        <v>11828.77530799852</v>
      </c>
      <c r="D13" s="44">
        <v>9631.5120310999991</v>
      </c>
      <c r="E13" s="44">
        <v>6449.4954076666672</v>
      </c>
      <c r="F13" s="44">
        <v>12261.797450036665</v>
      </c>
      <c r="G13" s="44">
        <v>1653.4624080000001</v>
      </c>
      <c r="H13" s="134"/>
      <c r="I13" s="44">
        <v>13748.940126571852</v>
      </c>
      <c r="J13" s="44">
        <v>11828.77530799852</v>
      </c>
      <c r="K13" s="44">
        <v>9631.5120310999991</v>
      </c>
      <c r="L13" s="44">
        <v>6449.4954076666672</v>
      </c>
      <c r="M13" s="44">
        <v>12261.797450036665</v>
      </c>
      <c r="N13" s="44">
        <v>1653.4624080000001</v>
      </c>
      <c r="O13" s="135"/>
      <c r="P13" s="136">
        <f t="shared" si="0"/>
        <v>9.5287170184199042</v>
      </c>
      <c r="Q13" s="136">
        <f t="shared" si="1"/>
        <v>9.3782904273529457</v>
      </c>
      <c r="R13" s="136">
        <f t="shared" si="2"/>
        <v>9.1727955050422718</v>
      </c>
      <c r="S13" s="136">
        <f t="shared" si="26"/>
        <v>8.7717571753600758</v>
      </c>
      <c r="T13" s="136">
        <f t="shared" si="3"/>
        <v>9.414243809676714</v>
      </c>
      <c r="U13" s="136">
        <f t="shared" si="30"/>
        <v>7.4106267973584483</v>
      </c>
      <c r="V13" s="135"/>
      <c r="W13" s="137">
        <v>77.852012201950188</v>
      </c>
      <c r="X13" s="138">
        <v>43927</v>
      </c>
      <c r="Y13" s="138">
        <v>6722.7833333333328</v>
      </c>
      <c r="Z13" s="136"/>
      <c r="AA13" s="136">
        <f t="shared" si="4"/>
        <v>4.3548097451129655</v>
      </c>
      <c r="AB13" s="136">
        <f t="shared" si="4"/>
        <v>10.690284444175827</v>
      </c>
      <c r="AC13" s="136">
        <f t="shared" si="4"/>
        <v>8.8132575342735766</v>
      </c>
      <c r="AD13" s="136"/>
      <c r="AE13" s="136"/>
      <c r="AF13" s="136"/>
      <c r="AG13" s="136"/>
      <c r="AH13" s="136"/>
      <c r="AI13" s="136">
        <f t="shared" si="5"/>
        <v>-0.12309486383049606</v>
      </c>
      <c r="AJ13" s="136">
        <f t="shared" si="27"/>
        <v>6.3020743055945516E-2</v>
      </c>
      <c r="AK13" s="136">
        <f t="shared" si="31"/>
        <v>-0.17994989267028672</v>
      </c>
      <c r="AL13" s="136"/>
      <c r="AM13" s="136">
        <f t="shared" si="8"/>
        <v>3.4814925358860549E-2</v>
      </c>
      <c r="AN13" s="136">
        <f t="shared" si="9"/>
        <v>4.1761683431705166E-2</v>
      </c>
      <c r="AO13" s="136">
        <f t="shared" si="10"/>
        <v>-4.5531649641000982E-2</v>
      </c>
      <c r="AP13" s="136"/>
      <c r="AQ13" s="136">
        <f t="shared" si="11"/>
        <v>2.1445054018073409E-2</v>
      </c>
      <c r="AR13" s="136">
        <f t="shared" si="12"/>
        <v>0.22713770354006807</v>
      </c>
      <c r="AS13" s="136">
        <f t="shared" si="22"/>
        <v>-0.29758210429060683</v>
      </c>
      <c r="AT13" s="139">
        <f t="shared" si="13"/>
        <v>2.7615081145014812E-2</v>
      </c>
      <c r="AU13" s="139">
        <f t="shared" si="32"/>
        <v>-5.1045439795836631E-2</v>
      </c>
      <c r="AV13" s="139">
        <f t="shared" si="38"/>
        <v>-8.7704529912618095E-2</v>
      </c>
      <c r="AW13" s="136">
        <f t="shared" si="14"/>
        <v>0</v>
      </c>
      <c r="AX13" s="136">
        <f t="shared" si="23"/>
        <v>-0.12582399999999999</v>
      </c>
      <c r="AY13" s="136">
        <f t="shared" si="24"/>
        <v>0</v>
      </c>
      <c r="AZ13" s="136"/>
      <c r="BA13" s="139">
        <f t="shared" si="25"/>
        <v>4.9060135163088221E-2</v>
      </c>
      <c r="BB13" s="136">
        <f t="shared" si="15"/>
        <v>5.0268263744231434E-2</v>
      </c>
      <c r="BC13" s="136">
        <f t="shared" si="15"/>
        <v>-0.38528663420322495</v>
      </c>
      <c r="BD13" s="140"/>
      <c r="BE13" s="139">
        <f t="shared" si="16"/>
        <v>-6.0882053177155955E-2</v>
      </c>
      <c r="BF13" s="139">
        <f t="shared" si="33"/>
        <v>-1.5889660722426258E-2</v>
      </c>
      <c r="BG13" s="139">
        <f t="shared" si="39"/>
        <v>-2.9417231042764835E-2</v>
      </c>
      <c r="BH13" s="140"/>
      <c r="BI13" s="140">
        <f t="shared" si="17"/>
        <v>3.5428059588912042</v>
      </c>
      <c r="BJ13" s="140">
        <f t="shared" si="18"/>
        <v>4.2645969330625588</v>
      </c>
      <c r="BK13" s="140">
        <f t="shared" si="19"/>
        <v>-4.4510638801869007</v>
      </c>
      <c r="BL13" s="30"/>
      <c r="BM13" s="17">
        <f t="shared" si="6"/>
        <v>9.3782904273529457</v>
      </c>
      <c r="BN13" s="17">
        <f t="shared" si="28"/>
        <v>8.7717571753600758</v>
      </c>
      <c r="BO13" s="17">
        <f t="shared" si="34"/>
        <v>7.4106267973584483</v>
      </c>
      <c r="BP13" s="44">
        <f t="shared" si="20"/>
        <v>11828.775307998514</v>
      </c>
      <c r="BQ13" s="44">
        <f t="shared" si="20"/>
        <v>6449.4954076666663</v>
      </c>
      <c r="BR13" s="44">
        <f t="shared" si="20"/>
        <v>1653.4624079999994</v>
      </c>
      <c r="BS13" s="44">
        <f t="shared" si="40"/>
        <v>19931.733123665181</v>
      </c>
      <c r="BT13" s="30"/>
      <c r="BU13" s="136"/>
      <c r="BV13" s="136"/>
      <c r="BW13" s="136"/>
      <c r="BX13" s="30"/>
      <c r="BY13" s="44"/>
      <c r="BZ13" s="44"/>
      <c r="CA13" s="30"/>
      <c r="CB13" s="44"/>
      <c r="CC13" s="44"/>
      <c r="CD13" s="30"/>
      <c r="CE13" s="44"/>
      <c r="CF13" s="44"/>
      <c r="CG13" s="30"/>
      <c r="CH13" s="140">
        <v>15</v>
      </c>
      <c r="CI13" s="140">
        <v>15</v>
      </c>
      <c r="CJ13" s="140">
        <v>15</v>
      </c>
      <c r="CK13" s="140">
        <f t="shared" si="35"/>
        <v>14.999999999999991</v>
      </c>
      <c r="CL13" s="30"/>
      <c r="CM13" s="157">
        <f t="shared" si="7"/>
        <v>1774.3162961997771</v>
      </c>
      <c r="CN13" s="157">
        <f t="shared" si="29"/>
        <v>967.42431114999999</v>
      </c>
      <c r="CO13" s="157">
        <f t="shared" si="36"/>
        <v>248.01936119999991</v>
      </c>
      <c r="CP13" s="157"/>
      <c r="CQ13" s="44"/>
      <c r="CR13" s="44"/>
      <c r="CS13" s="157"/>
      <c r="CT13" s="44"/>
      <c r="CU13" s="44"/>
      <c r="CV13" s="157"/>
      <c r="CW13" s="44"/>
      <c r="CX13" s="44"/>
      <c r="CY13" s="157"/>
      <c r="CZ13" s="157">
        <f t="shared" si="37"/>
        <v>2989.7599685497767</v>
      </c>
      <c r="DA13" s="44"/>
      <c r="DB13" s="44"/>
      <c r="DC13" s="30"/>
      <c r="DD13" s="141"/>
      <c r="DE13" s="141"/>
      <c r="DF13" s="141"/>
    </row>
    <row r="14" spans="1:110" x14ac:dyDescent="0.15">
      <c r="A14" s="12">
        <f t="shared" si="21"/>
        <v>2004</v>
      </c>
      <c r="B14" s="44">
        <v>13390.595545980908</v>
      </c>
      <c r="C14" s="44">
        <v>11086.485768030907</v>
      </c>
      <c r="D14" s="44">
        <v>10946.469571040001</v>
      </c>
      <c r="E14" s="44">
        <v>6700.775625733334</v>
      </c>
      <c r="F14" s="44">
        <v>16812.029398589999</v>
      </c>
      <c r="G14" s="44">
        <v>1756.6403666666668</v>
      </c>
      <c r="H14" s="134"/>
      <c r="I14" s="44">
        <v>13390.595545980908</v>
      </c>
      <c r="J14" s="44">
        <v>11086.485768030907</v>
      </c>
      <c r="K14" s="44">
        <v>10946.469571040001</v>
      </c>
      <c r="L14" s="44">
        <v>6700.775625733334</v>
      </c>
      <c r="M14" s="44">
        <v>16812.029398589999</v>
      </c>
      <c r="N14" s="44">
        <v>1756.6403666666668</v>
      </c>
      <c r="O14" s="135"/>
      <c r="P14" s="136">
        <f t="shared" si="0"/>
        <v>9.5023079146178002</v>
      </c>
      <c r="Q14" s="136">
        <f t="shared" si="1"/>
        <v>9.3134821471715679</v>
      </c>
      <c r="R14" s="136">
        <f t="shared" si="2"/>
        <v>9.3007722696545532</v>
      </c>
      <c r="S14" s="136">
        <f t="shared" si="26"/>
        <v>8.8099785637136296</v>
      </c>
      <c r="T14" s="136">
        <f t="shared" si="3"/>
        <v>9.7298499447905016</v>
      </c>
      <c r="U14" s="136">
        <f t="shared" si="30"/>
        <v>7.4711583812182223</v>
      </c>
      <c r="V14" s="135"/>
      <c r="W14" s="137">
        <v>81.044457298647188</v>
      </c>
      <c r="X14" s="138">
        <v>45783</v>
      </c>
      <c r="Y14" s="138">
        <v>8196.2166666666653</v>
      </c>
      <c r="Z14" s="136"/>
      <c r="AA14" s="136">
        <f t="shared" si="4"/>
        <v>4.3949978596451817</v>
      </c>
      <c r="AB14" s="136">
        <f t="shared" si="4"/>
        <v>10.731668122158984</v>
      </c>
      <c r="AC14" s="136">
        <f t="shared" si="4"/>
        <v>9.0114279446690464</v>
      </c>
      <c r="AD14" s="136"/>
      <c r="AE14" s="136"/>
      <c r="AF14" s="136"/>
      <c r="AG14" s="136"/>
      <c r="AH14" s="136"/>
      <c r="AI14" s="136">
        <f t="shared" si="5"/>
        <v>-0.24112342295545108</v>
      </c>
      <c r="AJ14" s="136">
        <f t="shared" si="27"/>
        <v>6.0664754799923948E-2</v>
      </c>
      <c r="AK14" s="136">
        <f t="shared" si="31"/>
        <v>-0.29009614183099863</v>
      </c>
      <c r="AL14" s="136"/>
      <c r="AM14" s="136">
        <f t="shared" si="8"/>
        <v>4.1383677983157341E-2</v>
      </c>
      <c r="AN14" s="136">
        <f t="shared" si="9"/>
        <v>4.0188114532216268E-2</v>
      </c>
      <c r="AO14" s="136">
        <f t="shared" si="10"/>
        <v>0.19817041039546979</v>
      </c>
      <c r="AP14" s="136"/>
      <c r="AQ14" s="136">
        <f t="shared" si="11"/>
        <v>2.5491228278319376E-2</v>
      </c>
      <c r="AR14" s="136">
        <f t="shared" si="12"/>
        <v>0.21857921650550011</v>
      </c>
      <c r="AS14" s="136">
        <f t="shared" si="22"/>
        <v>-6.0138658162330508E-2</v>
      </c>
      <c r="AT14" s="139">
        <f t="shared" si="13"/>
        <v>5.1116742438843288E-2</v>
      </c>
      <c r="AU14" s="139">
        <f t="shared" si="32"/>
        <v>-4.5431401586058899E-2</v>
      </c>
      <c r="AV14" s="139">
        <f t="shared" si="38"/>
        <v>8.071238550972569E-2</v>
      </c>
      <c r="AW14" s="136">
        <f t="shared" si="14"/>
        <v>0</v>
      </c>
      <c r="AX14" s="136">
        <f t="shared" si="23"/>
        <v>-0.12582399999999999</v>
      </c>
      <c r="AY14" s="136">
        <f t="shared" si="24"/>
        <v>0</v>
      </c>
      <c r="AZ14" s="136"/>
      <c r="BA14" s="139">
        <f t="shared" si="25"/>
        <v>7.660797071716266E-2</v>
      </c>
      <c r="BB14" s="136">
        <f t="shared" si="15"/>
        <v>4.7323814919441209E-2</v>
      </c>
      <c r="BC14" s="136">
        <f t="shared" si="15"/>
        <v>2.0573727347395182E-2</v>
      </c>
      <c r="BD14" s="140"/>
      <c r="BE14" s="139">
        <f t="shared" si="16"/>
        <v>-0.14141625089854051</v>
      </c>
      <c r="BF14" s="139">
        <f t="shared" si="33"/>
        <v>-9.1024265658873893E-3</v>
      </c>
      <c r="BG14" s="139">
        <f t="shared" si="39"/>
        <v>3.9957856512378792E-2</v>
      </c>
      <c r="BH14" s="140"/>
      <c r="BI14" s="140">
        <f t="shared" si="17"/>
        <v>4.2251917954788665</v>
      </c>
      <c r="BJ14" s="140">
        <f t="shared" si="18"/>
        <v>4.1006584241081834</v>
      </c>
      <c r="BK14" s="140">
        <f t="shared" si="19"/>
        <v>21.917013538539344</v>
      </c>
      <c r="BL14" s="30"/>
      <c r="BM14" s="17">
        <f t="shared" si="6"/>
        <v>9.3134821471715679</v>
      </c>
      <c r="BN14" s="17">
        <f t="shared" si="28"/>
        <v>8.8099785637136296</v>
      </c>
      <c r="BO14" s="17">
        <f t="shared" si="34"/>
        <v>7.4711583812182223</v>
      </c>
      <c r="BP14" s="44">
        <f t="shared" si="20"/>
        <v>11086.485768030911</v>
      </c>
      <c r="BQ14" s="44">
        <f t="shared" si="20"/>
        <v>6700.7756257333394</v>
      </c>
      <c r="BR14" s="44">
        <f t="shared" si="20"/>
        <v>1756.6403666666674</v>
      </c>
      <c r="BS14" s="44">
        <f t="shared" si="40"/>
        <v>19543.901760430916</v>
      </c>
      <c r="BT14" s="30"/>
      <c r="BU14" s="136"/>
      <c r="BV14" s="136"/>
      <c r="BW14" s="136"/>
      <c r="BX14" s="30"/>
      <c r="BY14" s="44"/>
      <c r="BZ14" s="44"/>
      <c r="CA14" s="30"/>
      <c r="CB14" s="44"/>
      <c r="CC14" s="44"/>
      <c r="CD14" s="30"/>
      <c r="CE14" s="44"/>
      <c r="CF14" s="44"/>
      <c r="CG14" s="30"/>
      <c r="CH14" s="140">
        <v>15</v>
      </c>
      <c r="CI14" s="140">
        <v>15.000000000000002</v>
      </c>
      <c r="CJ14" s="140">
        <v>15</v>
      </c>
      <c r="CK14" s="140">
        <f t="shared" si="35"/>
        <v>15.000000000000007</v>
      </c>
      <c r="CL14" s="30"/>
      <c r="CM14" s="157">
        <f t="shared" si="7"/>
        <v>1662.9728652046365</v>
      </c>
      <c r="CN14" s="157">
        <f t="shared" si="29"/>
        <v>1005.1163438600011</v>
      </c>
      <c r="CO14" s="157">
        <f t="shared" si="36"/>
        <v>263.49605500000013</v>
      </c>
      <c r="CP14" s="157"/>
      <c r="CQ14" s="44"/>
      <c r="CR14" s="44"/>
      <c r="CS14" s="157"/>
      <c r="CT14" s="44"/>
      <c r="CU14" s="44"/>
      <c r="CV14" s="157"/>
      <c r="CW14" s="44"/>
      <c r="CX14" s="44"/>
      <c r="CY14" s="157"/>
      <c r="CZ14" s="157">
        <f t="shared" si="37"/>
        <v>2931.5852640646376</v>
      </c>
      <c r="DA14" s="44"/>
      <c r="DB14" s="44"/>
      <c r="DC14" s="30"/>
      <c r="DD14" s="141">
        <f t="shared" ref="DD14:DD28" si="41">+((J14+L14+N14)-(J13+L13+N13))/(J13+L13+N13)*100</f>
        <v>-1.945798495434413</v>
      </c>
      <c r="DE14" s="141">
        <f t="shared" ref="DE14:DE28" si="42">+(CK14-CK13)/CK13*100</f>
        <v>1.0658141036401508E-13</v>
      </c>
      <c r="DF14" s="141">
        <f t="shared" ref="DF14:DF28" si="43">+(SUM(CM14:CO14)-SUM(CM13:CO13))/SUM(CM13:CO13)*100</f>
        <v>-1.9457984954343164</v>
      </c>
    </row>
    <row r="15" spans="1:110" x14ac:dyDescent="0.15">
      <c r="A15" s="12">
        <f t="shared" si="21"/>
        <v>2005</v>
      </c>
      <c r="B15" s="44">
        <v>14748.968404810174</v>
      </c>
      <c r="C15" s="44">
        <v>11872.650531113508</v>
      </c>
      <c r="D15" s="44">
        <v>12027.149264369997</v>
      </c>
      <c r="E15" s="44">
        <v>7093.2686391333336</v>
      </c>
      <c r="F15" s="44">
        <v>24807.908816189996</v>
      </c>
      <c r="G15" s="44">
        <v>2138.7677439999998</v>
      </c>
      <c r="H15" s="134"/>
      <c r="I15" s="44">
        <v>14748.968404810174</v>
      </c>
      <c r="J15" s="44">
        <v>11872.650531113508</v>
      </c>
      <c r="K15" s="44">
        <v>12027.149264369997</v>
      </c>
      <c r="L15" s="44">
        <v>7093.2686391333336</v>
      </c>
      <c r="M15" s="44">
        <v>24807.908816189996</v>
      </c>
      <c r="N15" s="44">
        <v>2138.7677439999998</v>
      </c>
      <c r="O15" s="135"/>
      <c r="P15" s="136">
        <f t="shared" si="0"/>
        <v>9.5989284206652066</v>
      </c>
      <c r="Q15" s="136">
        <f t="shared" si="1"/>
        <v>9.3819927593164518</v>
      </c>
      <c r="R15" s="136">
        <f t="shared" si="2"/>
        <v>9.3949218120068636</v>
      </c>
      <c r="S15" s="136">
        <f t="shared" si="26"/>
        <v>8.8669015343229471</v>
      </c>
      <c r="T15" s="136">
        <f t="shared" si="3"/>
        <v>10.118917785192668</v>
      </c>
      <c r="U15" s="136">
        <f t="shared" si="30"/>
        <v>7.6679851216068213</v>
      </c>
      <c r="V15" s="135"/>
      <c r="W15" s="137">
        <v>84.508187818425682</v>
      </c>
      <c r="X15" s="138">
        <v>50891</v>
      </c>
      <c r="Y15" s="138">
        <v>9900.7916666666661</v>
      </c>
      <c r="Z15" s="136"/>
      <c r="AA15" s="136">
        <f t="shared" si="4"/>
        <v>4.4368484269283677</v>
      </c>
      <c r="AB15" s="136">
        <f t="shared" si="4"/>
        <v>10.837441369615792</v>
      </c>
      <c r="AC15" s="136">
        <f t="shared" si="4"/>
        <v>9.2003699992555106</v>
      </c>
      <c r="AD15" s="136"/>
      <c r="AE15" s="136"/>
      <c r="AF15" s="136"/>
      <c r="AG15" s="136"/>
      <c r="AH15" s="136"/>
      <c r="AI15" s="136">
        <f t="shared" si="5"/>
        <v>-0.30863942827822033</v>
      </c>
      <c r="AJ15" s="136">
        <f t="shared" si="27"/>
        <v>7.5331793531350222E-2</v>
      </c>
      <c r="AK15" s="136">
        <f t="shared" si="31"/>
        <v>-0.25599914691197423</v>
      </c>
      <c r="AL15" s="136"/>
      <c r="AM15" s="136">
        <f t="shared" si="8"/>
        <v>0.10577324745680805</v>
      </c>
      <c r="AN15" s="136">
        <f t="shared" si="9"/>
        <v>4.1850567283185924E-2</v>
      </c>
      <c r="AO15" s="136">
        <f t="shared" si="10"/>
        <v>0.18894205458646418</v>
      </c>
      <c r="AP15" s="136"/>
      <c r="AQ15" s="136">
        <f t="shared" si="11"/>
        <v>6.5153464555712429E-2</v>
      </c>
      <c r="AR15" s="136">
        <f t="shared" si="12"/>
        <v>0.22762113409765447</v>
      </c>
      <c r="AS15" s="136">
        <f t="shared" si="22"/>
        <v>0.26174545975444047</v>
      </c>
      <c r="AT15" s="139">
        <f t="shared" si="13"/>
        <v>0.10012963598674948</v>
      </c>
      <c r="AU15" s="139">
        <f t="shared" si="32"/>
        <v>-4.3732979076245973E-2</v>
      </c>
      <c r="AV15" s="139">
        <f t="shared" si="38"/>
        <v>0.13011595220703231</v>
      </c>
      <c r="AW15" s="136">
        <f t="shared" si="14"/>
        <v>0</v>
      </c>
      <c r="AX15" s="136">
        <f t="shared" si="23"/>
        <v>-0.12582399999999999</v>
      </c>
      <c r="AY15" s="136">
        <f t="shared" si="24"/>
        <v>0</v>
      </c>
      <c r="AZ15" s="136"/>
      <c r="BA15" s="139">
        <f t="shared" si="25"/>
        <v>0.16528310054246192</v>
      </c>
      <c r="BB15" s="136">
        <f t="shared" si="15"/>
        <v>5.8064155021408492E-2</v>
      </c>
      <c r="BC15" s="136">
        <f t="shared" si="15"/>
        <v>0.39186141196147278</v>
      </c>
      <c r="BD15" s="140"/>
      <c r="BE15" s="139">
        <f t="shared" si="16"/>
        <v>-9.677248839757796E-2</v>
      </c>
      <c r="BF15" s="139">
        <f t="shared" si="33"/>
        <v>-1.1411844120909898E-3</v>
      </c>
      <c r="BG15" s="139">
        <f t="shared" si="39"/>
        <v>-0.19503467157287374</v>
      </c>
      <c r="BH15" s="140"/>
      <c r="BI15" s="140">
        <f t="shared" si="17"/>
        <v>11.156979664941137</v>
      </c>
      <c r="BJ15" s="140">
        <f t="shared" si="18"/>
        <v>4.2738647838860944</v>
      </c>
      <c r="BK15" s="140">
        <f t="shared" si="19"/>
        <v>20.797095407840626</v>
      </c>
      <c r="BL15" s="30"/>
      <c r="BM15" s="17">
        <f t="shared" si="6"/>
        <v>9.3819927593164518</v>
      </c>
      <c r="BN15" s="17">
        <f t="shared" si="28"/>
        <v>8.8669015343229471</v>
      </c>
      <c r="BO15" s="17">
        <f t="shared" si="34"/>
        <v>7.6679851216068213</v>
      </c>
      <c r="BP15" s="44">
        <f t="shared" si="20"/>
        <v>11872.650531113501</v>
      </c>
      <c r="BQ15" s="44">
        <f t="shared" si="20"/>
        <v>7093.2686391333318</v>
      </c>
      <c r="BR15" s="44">
        <f t="shared" si="20"/>
        <v>2138.7677439999998</v>
      </c>
      <c r="BS15" s="44">
        <f t="shared" si="40"/>
        <v>21104.686914246831</v>
      </c>
      <c r="BT15" s="30"/>
      <c r="BU15" s="136"/>
      <c r="BV15" s="136"/>
      <c r="BW15" s="136"/>
      <c r="BX15" s="30"/>
      <c r="BY15" s="44"/>
      <c r="BZ15" s="44"/>
      <c r="CA15" s="30"/>
      <c r="CB15" s="44"/>
      <c r="CC15" s="44"/>
      <c r="CD15" s="30"/>
      <c r="CE15" s="44"/>
      <c r="CF15" s="44"/>
      <c r="CG15" s="30"/>
      <c r="CH15" s="140">
        <v>15</v>
      </c>
      <c r="CI15" s="140">
        <v>15</v>
      </c>
      <c r="CJ15" s="140">
        <v>15</v>
      </c>
      <c r="CK15" s="140">
        <f t="shared" si="35"/>
        <v>14.999999999999995</v>
      </c>
      <c r="CL15" s="30"/>
      <c r="CM15" s="157">
        <f t="shared" si="7"/>
        <v>1780.8975796670252</v>
      </c>
      <c r="CN15" s="157">
        <f t="shared" si="29"/>
        <v>1063.9902958699997</v>
      </c>
      <c r="CO15" s="157">
        <f t="shared" si="36"/>
        <v>320.81516159999995</v>
      </c>
      <c r="CP15" s="157"/>
      <c r="CQ15" s="44"/>
      <c r="CR15" s="44"/>
      <c r="CS15" s="157"/>
      <c r="CT15" s="44"/>
      <c r="CU15" s="44"/>
      <c r="CV15" s="157"/>
      <c r="CW15" s="44"/>
      <c r="CX15" s="44"/>
      <c r="CY15" s="157"/>
      <c r="CZ15" s="157">
        <f t="shared" si="37"/>
        <v>3165.7030371370251</v>
      </c>
      <c r="DA15" s="44"/>
      <c r="DB15" s="44"/>
      <c r="DC15" s="30"/>
      <c r="DD15" s="141">
        <f t="shared" si="41"/>
        <v>7.9860468648892828</v>
      </c>
      <c r="DE15" s="141">
        <f t="shared" si="42"/>
        <v>-8.289665250534498E-14</v>
      </c>
      <c r="DF15" s="141">
        <f t="shared" si="43"/>
        <v>7.9860468648891914</v>
      </c>
    </row>
    <row r="16" spans="1:110" x14ac:dyDescent="0.15">
      <c r="A16" s="12">
        <f t="shared" si="21"/>
        <v>2006</v>
      </c>
      <c r="B16" s="44">
        <v>19317.333690796739</v>
      </c>
      <c r="C16" s="44">
        <v>15583.634761450077</v>
      </c>
      <c r="D16" s="44">
        <v>13270.728535720002</v>
      </c>
      <c r="E16" s="44">
        <v>7578.8807715333332</v>
      </c>
      <c r="F16" s="44">
        <v>42438.51461357333</v>
      </c>
      <c r="G16" s="44">
        <v>3975.2053466666666</v>
      </c>
      <c r="H16" s="134"/>
      <c r="I16" s="44">
        <v>19317.333690796739</v>
      </c>
      <c r="J16" s="44">
        <v>15583.634761450077</v>
      </c>
      <c r="K16" s="44">
        <v>13270.728535720002</v>
      </c>
      <c r="L16" s="44">
        <v>7578.8807715333332</v>
      </c>
      <c r="M16" s="44">
        <v>42438.51461357333</v>
      </c>
      <c r="N16" s="44">
        <v>3975.2053466666666</v>
      </c>
      <c r="O16" s="135"/>
      <c r="P16" s="136">
        <f t="shared" si="0"/>
        <v>9.8687580905198313</v>
      </c>
      <c r="Q16" s="136">
        <f t="shared" si="1"/>
        <v>9.6539765888424043</v>
      </c>
      <c r="R16" s="136">
        <f t="shared" si="2"/>
        <v>9.4933160267778032</v>
      </c>
      <c r="S16" s="136">
        <f t="shared" si="26"/>
        <v>8.9331208122637378</v>
      </c>
      <c r="T16" s="136">
        <f t="shared" si="3"/>
        <v>10.65581159243524</v>
      </c>
      <c r="U16" s="136">
        <f t="shared" si="30"/>
        <v>8.2878316852929075</v>
      </c>
      <c r="V16" s="135"/>
      <c r="W16" s="137">
        <v>88.192264071352596</v>
      </c>
      <c r="X16" s="138">
        <v>59635</v>
      </c>
      <c r="Y16" s="138">
        <v>12343.883333333333</v>
      </c>
      <c r="Z16" s="136"/>
      <c r="AA16" s="136">
        <f t="shared" si="4"/>
        <v>4.4795192502245111</v>
      </c>
      <c r="AB16" s="136">
        <f t="shared" si="4"/>
        <v>10.99599792901277</v>
      </c>
      <c r="AC16" s="136">
        <f t="shared" si="4"/>
        <v>9.4209159427129574</v>
      </c>
      <c r="AD16" s="136"/>
      <c r="AE16" s="136"/>
      <c r="AF16" s="136"/>
      <c r="AG16" s="136"/>
      <c r="AH16" s="136"/>
      <c r="AI16" s="136">
        <f t="shared" si="5"/>
        <v>-0.24056266382452751</v>
      </c>
      <c r="AJ16" s="136">
        <f t="shared" si="27"/>
        <v>9.8466938581551311E-2</v>
      </c>
      <c r="AK16" s="136">
        <f t="shared" si="31"/>
        <v>0.17389825314440444</v>
      </c>
      <c r="AL16" s="136"/>
      <c r="AM16" s="136">
        <f t="shared" si="8"/>
        <v>0.15855655939697755</v>
      </c>
      <c r="AN16" s="136">
        <f t="shared" si="9"/>
        <v>4.2670823296143467E-2</v>
      </c>
      <c r="AO16" s="136">
        <f t="shared" si="10"/>
        <v>0.22054594345744682</v>
      </c>
      <c r="AP16" s="136"/>
      <c r="AQ16" s="136">
        <f t="shared" si="11"/>
        <v>9.7666559561434454E-2</v>
      </c>
      <c r="AR16" s="136">
        <f t="shared" si="12"/>
        <v>0.23208242616704128</v>
      </c>
      <c r="AS16" s="136">
        <f t="shared" si="22"/>
        <v>0.24955655511834776</v>
      </c>
      <c r="AT16" s="139">
        <f t="shared" si="13"/>
        <v>0.12816653490509861</v>
      </c>
      <c r="AU16" s="139">
        <f t="shared" si="32"/>
        <v>-5.4306388629576249E-2</v>
      </c>
      <c r="AV16" s="139">
        <f t="shared" si="38"/>
        <v>0.11482252936698707</v>
      </c>
      <c r="AW16" s="136">
        <f t="shared" si="14"/>
        <v>0</v>
      </c>
      <c r="AX16" s="136">
        <f t="shared" si="23"/>
        <v>-0.12582399999999999</v>
      </c>
      <c r="AY16" s="136">
        <f t="shared" si="24"/>
        <v>0</v>
      </c>
      <c r="AZ16" s="136"/>
      <c r="BA16" s="139">
        <f t="shared" si="25"/>
        <v>0.22583309446653305</v>
      </c>
      <c r="BB16" s="136">
        <f t="shared" si="15"/>
        <v>5.1952037537465023E-2</v>
      </c>
      <c r="BC16" s="136">
        <f t="shared" si="15"/>
        <v>0.36437908448533485</v>
      </c>
      <c r="BD16" s="140"/>
      <c r="BE16" s="139">
        <f t="shared" si="16"/>
        <v>4.6150735059419412E-2</v>
      </c>
      <c r="BF16" s="139">
        <f t="shared" si="33"/>
        <v>1.4267240403325609E-2</v>
      </c>
      <c r="BG16" s="139">
        <f t="shared" si="39"/>
        <v>0.2554674792007513</v>
      </c>
      <c r="BH16" s="140"/>
      <c r="BI16" s="140">
        <f t="shared" si="17"/>
        <v>17.181819968167254</v>
      </c>
      <c r="BJ16" s="140">
        <f t="shared" si="18"/>
        <v>4.359431136829639</v>
      </c>
      <c r="BK16" s="140">
        <f t="shared" si="19"/>
        <v>24.675720375895871</v>
      </c>
      <c r="BL16" s="30"/>
      <c r="BM16" s="17">
        <f t="shared" si="6"/>
        <v>9.6539765888424043</v>
      </c>
      <c r="BN16" s="17">
        <f t="shared" si="28"/>
        <v>8.9331208122637378</v>
      </c>
      <c r="BO16" s="17">
        <f t="shared" si="34"/>
        <v>8.2878316852929075</v>
      </c>
      <c r="BP16" s="44">
        <f t="shared" si="20"/>
        <v>15583.634761450083</v>
      </c>
      <c r="BQ16" s="44">
        <f t="shared" si="20"/>
        <v>7578.8807715333269</v>
      </c>
      <c r="BR16" s="44">
        <f t="shared" si="20"/>
        <v>3975.2053466666634</v>
      </c>
      <c r="BS16" s="44">
        <f t="shared" si="40"/>
        <v>27137.720879650071</v>
      </c>
      <c r="BT16" s="30"/>
      <c r="BU16" s="136"/>
      <c r="BV16" s="136"/>
      <c r="BW16" s="136"/>
      <c r="BX16" s="30"/>
      <c r="BY16" s="44"/>
      <c r="BZ16" s="44"/>
      <c r="CA16" s="30"/>
      <c r="CB16" s="44"/>
      <c r="CC16" s="44"/>
      <c r="CD16" s="30"/>
      <c r="CE16" s="44"/>
      <c r="CF16" s="44"/>
      <c r="CG16" s="30"/>
      <c r="CH16" s="140">
        <v>15</v>
      </c>
      <c r="CI16" s="140">
        <v>15.000000000000002</v>
      </c>
      <c r="CJ16" s="140">
        <v>15</v>
      </c>
      <c r="CK16" s="140">
        <f t="shared" si="35"/>
        <v>15</v>
      </c>
      <c r="CL16" s="30"/>
      <c r="CM16" s="157">
        <f t="shared" si="7"/>
        <v>2337.5452142175122</v>
      </c>
      <c r="CN16" s="157">
        <f t="shared" si="29"/>
        <v>1136.8321157299993</v>
      </c>
      <c r="CO16" s="157">
        <f t="shared" si="36"/>
        <v>596.28080199999954</v>
      </c>
      <c r="CP16" s="157"/>
      <c r="CQ16" s="44"/>
      <c r="CR16" s="44"/>
      <c r="CS16" s="157"/>
      <c r="CT16" s="44"/>
      <c r="CU16" s="44"/>
      <c r="CV16" s="157"/>
      <c r="CW16" s="44"/>
      <c r="CX16" s="44"/>
      <c r="CY16" s="157"/>
      <c r="CZ16" s="157">
        <f t="shared" si="37"/>
        <v>4070.6581319475108</v>
      </c>
      <c r="DA16" s="44"/>
      <c r="DB16" s="44"/>
      <c r="DC16" s="30"/>
      <c r="DD16" s="141">
        <f t="shared" si="41"/>
        <v>28.586228215167679</v>
      </c>
      <c r="DE16" s="141">
        <f t="shared" si="42"/>
        <v>3.5527136788005022E-14</v>
      </c>
      <c r="DF16" s="141">
        <f t="shared" si="43"/>
        <v>28.586228215167719</v>
      </c>
    </row>
    <row r="17" spans="1:110" x14ac:dyDescent="0.15">
      <c r="A17" s="12">
        <f t="shared" si="21"/>
        <v>2007</v>
      </c>
      <c r="B17" s="44">
        <v>23141.725377282321</v>
      </c>
      <c r="C17" s="44">
        <v>21199.342199081431</v>
      </c>
      <c r="D17" s="44">
        <v>14765.954451770001</v>
      </c>
      <c r="E17" s="44">
        <v>8052.4810372222219</v>
      </c>
      <c r="F17" s="44">
        <v>31445.566133281362</v>
      </c>
      <c r="G17" s="44">
        <v>4451.5421086780261</v>
      </c>
      <c r="H17" s="134"/>
      <c r="I17" s="44">
        <v>23141.725377282321</v>
      </c>
      <c r="J17" s="44">
        <v>21199.342199081431</v>
      </c>
      <c r="K17" s="44">
        <v>14765.954451770001</v>
      </c>
      <c r="L17" s="44">
        <v>8052.4810372222219</v>
      </c>
      <c r="M17" s="44">
        <v>31445.566133281362</v>
      </c>
      <c r="N17" s="44">
        <v>4451.5421086780261</v>
      </c>
      <c r="O17" s="135"/>
      <c r="P17" s="136">
        <f t="shared" si="0"/>
        <v>10.049392560512631</v>
      </c>
      <c r="Q17" s="136">
        <f t="shared" si="1"/>
        <v>9.9617254318335</v>
      </c>
      <c r="R17" s="136">
        <f t="shared" si="2"/>
        <v>9.6000794349448419</v>
      </c>
      <c r="S17" s="136">
        <f t="shared" si="26"/>
        <v>8.9937355263093455</v>
      </c>
      <c r="T17" s="136">
        <f t="shared" si="3"/>
        <v>10.356013270736074</v>
      </c>
      <c r="U17" s="136">
        <f t="shared" si="30"/>
        <v>8.4010058564046872</v>
      </c>
      <c r="V17" s="135"/>
      <c r="W17" s="137">
        <v>92.044735993479719</v>
      </c>
      <c r="X17" s="138">
        <v>71195</v>
      </c>
      <c r="Y17" s="138">
        <v>14894.225</v>
      </c>
      <c r="Z17" s="136"/>
      <c r="AA17" s="136">
        <f t="shared" si="4"/>
        <v>4.5222747196612625</v>
      </c>
      <c r="AB17" s="136">
        <f t="shared" si="4"/>
        <v>11.173177870215095</v>
      </c>
      <c r="AC17" s="136">
        <f t="shared" si="4"/>
        <v>9.6087288329108826</v>
      </c>
      <c r="AD17" s="136"/>
      <c r="AE17" s="136"/>
      <c r="AF17" s="136"/>
      <c r="AG17" s="136"/>
      <c r="AH17" s="136"/>
      <c r="AI17" s="136">
        <f t="shared" si="5"/>
        <v>-0.16067094599838772</v>
      </c>
      <c r="AJ17" s="136">
        <f t="shared" si="27"/>
        <v>0.11591205371344326</v>
      </c>
      <c r="AK17" s="136">
        <f t="shared" si="31"/>
        <v>0.12531519194119767</v>
      </c>
      <c r="AL17" s="136"/>
      <c r="AM17" s="136">
        <f t="shared" si="8"/>
        <v>0.17717994120232561</v>
      </c>
      <c r="AN17" s="136">
        <f t="shared" si="9"/>
        <v>4.2755469436751348E-2</v>
      </c>
      <c r="AO17" s="136">
        <f t="shared" si="10"/>
        <v>0.18781289019792524</v>
      </c>
      <c r="AP17" s="136"/>
      <c r="AQ17" s="136">
        <f t="shared" si="11"/>
        <v>0.10913805992222012</v>
      </c>
      <c r="AR17" s="136">
        <f t="shared" si="12"/>
        <v>0.23254280823048576</v>
      </c>
      <c r="AS17" s="136">
        <f t="shared" si="22"/>
        <v>0.29129928757803036</v>
      </c>
      <c r="AT17" s="139">
        <f t="shared" si="13"/>
        <v>9.9896773467764766E-2</v>
      </c>
      <c r="AU17" s="139">
        <f t="shared" si="32"/>
        <v>-7.0984422155686011E-2</v>
      </c>
      <c r="AV17" s="139">
        <f t="shared" si="38"/>
        <v>-7.7998061788100287E-2</v>
      </c>
      <c r="AW17" s="136">
        <f t="shared" si="14"/>
        <v>0</v>
      </c>
      <c r="AX17" s="136">
        <f t="shared" si="23"/>
        <v>-0.12582399999999999</v>
      </c>
      <c r="AY17" s="136">
        <f t="shared" si="24"/>
        <v>0</v>
      </c>
      <c r="AZ17" s="136"/>
      <c r="BA17" s="139">
        <f t="shared" si="25"/>
        <v>0.20903483338998488</v>
      </c>
      <c r="BB17" s="136">
        <f t="shared" si="15"/>
        <v>3.5734386074799757E-2</v>
      </c>
      <c r="BC17" s="136">
        <f t="shared" si="15"/>
        <v>0.21330122578993008</v>
      </c>
      <c r="BD17" s="140"/>
      <c r="BE17" s="139">
        <f t="shared" si="16"/>
        <v>9.8714009601110847E-2</v>
      </c>
      <c r="BF17" s="139">
        <f t="shared" si="33"/>
        <v>2.4880327970807942E-2</v>
      </c>
      <c r="BG17" s="139">
        <f t="shared" si="39"/>
        <v>-0.10012705467815033</v>
      </c>
      <c r="BH17" s="140"/>
      <c r="BI17" s="140">
        <f t="shared" si="17"/>
        <v>19.384589586652123</v>
      </c>
      <c r="BJ17" s="140">
        <f t="shared" si="18"/>
        <v>4.3682651337879852</v>
      </c>
      <c r="BK17" s="140">
        <f t="shared" si="19"/>
        <v>20.660772609376043</v>
      </c>
      <c r="BL17" s="30"/>
      <c r="BM17" s="17">
        <f t="shared" si="6"/>
        <v>9.9617254318335</v>
      </c>
      <c r="BN17" s="17">
        <f t="shared" si="28"/>
        <v>8.9937355263093455</v>
      </c>
      <c r="BO17" s="17">
        <f t="shared" si="34"/>
        <v>8.4010058564046872</v>
      </c>
      <c r="BP17" s="44">
        <f t="shared" si="20"/>
        <v>21199.342199081446</v>
      </c>
      <c r="BQ17" s="44">
        <f t="shared" si="20"/>
        <v>8052.48103722222</v>
      </c>
      <c r="BR17" s="44">
        <f t="shared" si="20"/>
        <v>4451.5421086780252</v>
      </c>
      <c r="BS17" s="44">
        <f t="shared" si="40"/>
        <v>33703.365344981692</v>
      </c>
      <c r="BT17" s="30"/>
      <c r="BU17" s="136"/>
      <c r="BV17" s="136"/>
      <c r="BW17" s="136"/>
      <c r="BX17" s="30"/>
      <c r="BY17" s="44"/>
      <c r="BZ17" s="44"/>
      <c r="CA17" s="30"/>
      <c r="CB17" s="44"/>
      <c r="CC17" s="44"/>
      <c r="CD17" s="30"/>
      <c r="CE17" s="44"/>
      <c r="CF17" s="44"/>
      <c r="CG17" s="30"/>
      <c r="CH17" s="140">
        <v>18</v>
      </c>
      <c r="CI17" s="140">
        <v>18</v>
      </c>
      <c r="CJ17" s="140">
        <v>18</v>
      </c>
      <c r="CK17" s="140">
        <f t="shared" si="35"/>
        <v>18.000000000000004</v>
      </c>
      <c r="CL17" s="30"/>
      <c r="CM17" s="157">
        <f t="shared" si="7"/>
        <v>3815.8815958346599</v>
      </c>
      <c r="CN17" s="157">
        <f t="shared" si="29"/>
        <v>1449.4465866999997</v>
      </c>
      <c r="CO17" s="157">
        <f t="shared" si="36"/>
        <v>801.27757956204459</v>
      </c>
      <c r="CP17" s="157"/>
      <c r="CQ17" s="44"/>
      <c r="CR17" s="44"/>
      <c r="CS17" s="157"/>
      <c r="CT17" s="44"/>
      <c r="CU17" s="44"/>
      <c r="CV17" s="157"/>
      <c r="CW17" s="44"/>
      <c r="CX17" s="44"/>
      <c r="CY17" s="157"/>
      <c r="CZ17" s="157">
        <f t="shared" si="37"/>
        <v>6066.605762096704</v>
      </c>
      <c r="DA17" s="44"/>
      <c r="DB17" s="44"/>
      <c r="DC17" s="30"/>
      <c r="DD17" s="141">
        <f t="shared" si="41"/>
        <v>24.193794661124333</v>
      </c>
      <c r="DE17" s="141">
        <f t="shared" si="42"/>
        <v>20.000000000000025</v>
      </c>
      <c r="DF17" s="141">
        <f t="shared" si="43"/>
        <v>49.032553593349263</v>
      </c>
    </row>
    <row r="18" spans="1:110" x14ac:dyDescent="0.15">
      <c r="A18" s="12">
        <f t="shared" si="21"/>
        <v>2008</v>
      </c>
      <c r="B18" s="44">
        <v>30037.760379203908</v>
      </c>
      <c r="C18" s="44">
        <v>27515.674762824103</v>
      </c>
      <c r="D18" s="44">
        <v>16123.18321843</v>
      </c>
      <c r="E18" s="44">
        <v>8398.9867419444436</v>
      </c>
      <c r="F18" s="44">
        <v>17821.409182506664</v>
      </c>
      <c r="G18" s="44">
        <v>5659.0984761111104</v>
      </c>
      <c r="H18" s="134"/>
      <c r="I18" s="44">
        <v>30037.760379203908</v>
      </c>
      <c r="J18" s="44">
        <v>27515.674762824103</v>
      </c>
      <c r="K18" s="44">
        <v>16123.18321843</v>
      </c>
      <c r="L18" s="44">
        <v>8398.9867419444436</v>
      </c>
      <c r="M18" s="44">
        <v>17821.409182506664</v>
      </c>
      <c r="N18" s="44">
        <v>5659.0984761111104</v>
      </c>
      <c r="O18" s="135"/>
      <c r="P18" s="136">
        <f t="shared" si="0"/>
        <v>10.310210548478361</v>
      </c>
      <c r="Q18" s="136">
        <f t="shared" si="1"/>
        <v>10.222511112646702</v>
      </c>
      <c r="R18" s="136">
        <f t="shared" si="2"/>
        <v>9.6880134666918902</v>
      </c>
      <c r="S18" s="136">
        <f t="shared" si="26"/>
        <v>9.0358663515965141</v>
      </c>
      <c r="T18" s="136">
        <f t="shared" si="3"/>
        <v>9.7881557766023217</v>
      </c>
      <c r="U18" s="136">
        <f t="shared" si="30"/>
        <v>8.6410198786718215</v>
      </c>
      <c r="V18" s="135"/>
      <c r="W18" s="137">
        <v>95.951852310262282</v>
      </c>
      <c r="X18" s="138">
        <v>79888</v>
      </c>
      <c r="Y18" s="138">
        <v>11742.691666666666</v>
      </c>
      <c r="Z18" s="136"/>
      <c r="AA18" s="136">
        <f t="shared" si="4"/>
        <v>4.5638465272205995</v>
      </c>
      <c r="AB18" s="136">
        <f t="shared" si="4"/>
        <v>11.28838093274039</v>
      </c>
      <c r="AC18" s="136">
        <f t="shared" si="4"/>
        <v>9.3709863402432791</v>
      </c>
      <c r="AD18" s="136"/>
      <c r="AE18" s="136"/>
      <c r="AF18" s="136"/>
      <c r="AG18" s="136"/>
      <c r="AH18" s="136"/>
      <c r="AI18" s="136">
        <f t="shared" si="5"/>
        <v>-4.8038822857027874E-2</v>
      </c>
      <c r="AJ18" s="136">
        <f t="shared" si="27"/>
        <v>0.11606840691325537</v>
      </c>
      <c r="AK18" s="136">
        <f t="shared" si="31"/>
        <v>0.57008921538317203</v>
      </c>
      <c r="AL18" s="136"/>
      <c r="AM18" s="136">
        <f t="shared" si="8"/>
        <v>0.11520306252529444</v>
      </c>
      <c r="AN18" s="136">
        <f t="shared" si="9"/>
        <v>4.1571807559336982E-2</v>
      </c>
      <c r="AO18" s="136">
        <f t="shared" si="10"/>
        <v>-0.2377424926676035</v>
      </c>
      <c r="AP18" s="136"/>
      <c r="AQ18" s="136">
        <f t="shared" si="11"/>
        <v>7.0961976032893198E-2</v>
      </c>
      <c r="AR18" s="136">
        <f t="shared" si="12"/>
        <v>0.22610498727809303</v>
      </c>
      <c r="AS18" s="136">
        <f t="shared" si="22"/>
        <v>0.24806514350232164</v>
      </c>
      <c r="AT18" s="139">
        <f t="shared" si="13"/>
        <v>6.6720699048128482E-2</v>
      </c>
      <c r="AU18" s="139">
        <f t="shared" si="32"/>
        <v>-8.3560535873806394E-2</v>
      </c>
      <c r="AV18" s="139">
        <f t="shared" si="38"/>
        <v>-5.620724709580957E-2</v>
      </c>
      <c r="AW18" s="136">
        <f t="shared" si="14"/>
        <v>0</v>
      </c>
      <c r="AX18" s="136">
        <f t="shared" si="23"/>
        <v>-0.12582399999999999</v>
      </c>
      <c r="AY18" s="136">
        <f t="shared" si="24"/>
        <v>0</v>
      </c>
      <c r="AZ18" s="136"/>
      <c r="BA18" s="139">
        <f t="shared" si="25"/>
        <v>0.13768267508102167</v>
      </c>
      <c r="BB18" s="136">
        <f t="shared" si="15"/>
        <v>1.6720451404286629E-2</v>
      </c>
      <c r="BC18" s="136">
        <f t="shared" si="15"/>
        <v>0.19185789640651207</v>
      </c>
      <c r="BD18" s="140"/>
      <c r="BE18" s="139">
        <f t="shared" si="16"/>
        <v>0.12310300573217997</v>
      </c>
      <c r="BF18" s="139">
        <f t="shared" si="33"/>
        <v>2.5410373882881976E-2</v>
      </c>
      <c r="BG18" s="139">
        <f t="shared" si="39"/>
        <v>4.8156125860622234E-2</v>
      </c>
      <c r="BH18" s="140"/>
      <c r="BI18" s="140">
        <f t="shared" si="17"/>
        <v>12.210127115668246</v>
      </c>
      <c r="BJ18" s="140">
        <f t="shared" si="18"/>
        <v>4.2448014811616641</v>
      </c>
      <c r="BK18" s="140">
        <f t="shared" si="19"/>
        <v>-21.159431479874481</v>
      </c>
      <c r="BL18" s="30"/>
      <c r="BM18" s="17">
        <f t="shared" si="6"/>
        <v>10.222511112646702</v>
      </c>
      <c r="BN18" s="17">
        <f t="shared" si="28"/>
        <v>9.0358663515965141</v>
      </c>
      <c r="BO18" s="17">
        <f t="shared" si="34"/>
        <v>8.6410198786718215</v>
      </c>
      <c r="BP18" s="44">
        <f t="shared" si="20"/>
        <v>27515.674762824081</v>
      </c>
      <c r="BQ18" s="44">
        <f t="shared" si="20"/>
        <v>8398.9867419444436</v>
      </c>
      <c r="BR18" s="44">
        <f t="shared" si="20"/>
        <v>5659.0984761111104</v>
      </c>
      <c r="BS18" s="44">
        <f t="shared" si="40"/>
        <v>41573.759980879637</v>
      </c>
      <c r="BT18" s="30"/>
      <c r="BU18" s="136"/>
      <c r="BV18" s="136"/>
      <c r="BW18" s="136"/>
      <c r="BX18" s="30"/>
      <c r="BY18" s="44"/>
      <c r="BZ18" s="44"/>
      <c r="CA18" s="30"/>
      <c r="CB18" s="44"/>
      <c r="CC18" s="44"/>
      <c r="CD18" s="30"/>
      <c r="CE18" s="44"/>
      <c r="CF18" s="44"/>
      <c r="CG18" s="30"/>
      <c r="CH18" s="140">
        <v>18.000000000000004</v>
      </c>
      <c r="CI18" s="140">
        <v>18</v>
      </c>
      <c r="CJ18" s="140">
        <v>18</v>
      </c>
      <c r="CK18" s="140">
        <f t="shared" si="35"/>
        <v>17.999999999999989</v>
      </c>
      <c r="CL18" s="30"/>
      <c r="CM18" s="157">
        <f t="shared" si="7"/>
        <v>4952.821457308336</v>
      </c>
      <c r="CN18" s="157">
        <f t="shared" si="29"/>
        <v>1511.81761355</v>
      </c>
      <c r="CO18" s="157">
        <f t="shared" si="36"/>
        <v>1018.6377256999999</v>
      </c>
      <c r="CP18" s="157"/>
      <c r="CQ18" s="44"/>
      <c r="CR18" s="44"/>
      <c r="CS18" s="157"/>
      <c r="CT18" s="44"/>
      <c r="CU18" s="44"/>
      <c r="CV18" s="157"/>
      <c r="CW18" s="44"/>
      <c r="CX18" s="44"/>
      <c r="CY18" s="157"/>
      <c r="CZ18" s="157">
        <f t="shared" si="37"/>
        <v>7483.2767965583353</v>
      </c>
      <c r="DA18" s="44"/>
      <c r="DB18" s="44"/>
      <c r="DC18" s="30"/>
      <c r="DD18" s="141">
        <f t="shared" si="41"/>
        <v>23.351954783559492</v>
      </c>
      <c r="DE18" s="141">
        <f t="shared" si="42"/>
        <v>-7.8949192862233339E-14</v>
      </c>
      <c r="DF18" s="141">
        <f t="shared" si="43"/>
        <v>23.351954783559396</v>
      </c>
    </row>
    <row r="19" spans="1:110" x14ac:dyDescent="0.15">
      <c r="A19" s="12">
        <f t="shared" si="21"/>
        <v>2009</v>
      </c>
      <c r="B19" s="44">
        <v>29708.820033120428</v>
      </c>
      <c r="C19" s="44">
        <v>27184.849648175521</v>
      </c>
      <c r="D19" s="44">
        <v>16268.784999210002</v>
      </c>
      <c r="E19" s="44">
        <v>7966.9614716111128</v>
      </c>
      <c r="F19" s="44">
        <v>13338.58127937111</v>
      </c>
      <c r="G19" s="44">
        <v>2966.1175444444452</v>
      </c>
      <c r="H19" s="134"/>
      <c r="I19" s="44">
        <v>29708.820033120428</v>
      </c>
      <c r="J19" s="44">
        <v>27184.849648175521</v>
      </c>
      <c r="K19" s="44">
        <v>16268.784999210002</v>
      </c>
      <c r="L19" s="44">
        <v>7966.9614716111128</v>
      </c>
      <c r="M19" s="44">
        <v>13338.58127937111</v>
      </c>
      <c r="N19" s="44">
        <v>2966.1175444444452</v>
      </c>
      <c r="O19" s="135"/>
      <c r="P19" s="136">
        <f t="shared" si="0"/>
        <v>10.299199251515823</v>
      </c>
      <c r="Q19" s="136">
        <f t="shared" si="1"/>
        <v>10.210415098874108</v>
      </c>
      <c r="R19" s="136">
        <f t="shared" si="2"/>
        <v>9.697003520055814</v>
      </c>
      <c r="S19" s="136">
        <f t="shared" si="26"/>
        <v>8.9830584533715729</v>
      </c>
      <c r="T19" s="136">
        <f t="shared" si="3"/>
        <v>9.4984159629422287</v>
      </c>
      <c r="U19" s="136">
        <f t="shared" si="30"/>
        <v>7.9950091525412104</v>
      </c>
      <c r="V19" s="135"/>
      <c r="W19" s="137">
        <v>98.90113406063422</v>
      </c>
      <c r="X19" s="138">
        <v>58191</v>
      </c>
      <c r="Y19" s="138">
        <v>10092.683333333334</v>
      </c>
      <c r="Z19" s="136"/>
      <c r="AA19" s="136">
        <f t="shared" si="4"/>
        <v>4.5941207053034114</v>
      </c>
      <c r="AB19" s="136">
        <f t="shared" si="4"/>
        <v>10.971485982586401</v>
      </c>
      <c r="AC19" s="136">
        <f t="shared" si="4"/>
        <v>9.2195660178663772</v>
      </c>
      <c r="AD19" s="136"/>
      <c r="AE19" s="136"/>
      <c r="AF19" s="136"/>
      <c r="AG19" s="136"/>
      <c r="AH19" s="136"/>
      <c r="AI19" s="136">
        <f t="shared" si="5"/>
        <v>0.34739872406236127</v>
      </c>
      <c r="AJ19" s="136">
        <f t="shared" si="27"/>
        <v>3.2693094916592003E-2</v>
      </c>
      <c r="AK19" s="136">
        <f t="shared" si="31"/>
        <v>5.4491967465470914E-2</v>
      </c>
      <c r="AL19" s="136"/>
      <c r="AM19" s="136">
        <f t="shared" si="8"/>
        <v>-0.31689495015398883</v>
      </c>
      <c r="AN19" s="136">
        <f t="shared" si="9"/>
        <v>3.0274178082811964E-2</v>
      </c>
      <c r="AO19" s="136">
        <f t="shared" si="10"/>
        <v>-0.15142032237690195</v>
      </c>
      <c r="AP19" s="136"/>
      <c r="AQ19" s="136">
        <f t="shared" si="11"/>
        <v>-0.19519873313120295</v>
      </c>
      <c r="AR19" s="136">
        <f t="shared" si="12"/>
        <v>0.16465828772296215</v>
      </c>
      <c r="AS19" s="136">
        <f t="shared" si="22"/>
        <v>-0.31401266174029741</v>
      </c>
      <c r="AT19" s="139">
        <f t="shared" si="13"/>
        <v>1.9948745696077966E-2</v>
      </c>
      <c r="AU19" s="139">
        <f t="shared" si="32"/>
        <v>-8.3673250270138139E-2</v>
      </c>
      <c r="AV19" s="139">
        <f t="shared" si="38"/>
        <v>-0.25570040550816803</v>
      </c>
      <c r="AW19" s="136">
        <f t="shared" si="14"/>
        <v>0</v>
      </c>
      <c r="AX19" s="136">
        <f t="shared" si="23"/>
        <v>-0.12582399999999999</v>
      </c>
      <c r="AY19" s="136">
        <f t="shared" si="24"/>
        <v>0</v>
      </c>
      <c r="AZ19" s="136"/>
      <c r="BA19" s="139">
        <f t="shared" si="25"/>
        <v>-0.17524998743512499</v>
      </c>
      <c r="BB19" s="136">
        <f t="shared" si="15"/>
        <v>-4.4838962547175981E-2</v>
      </c>
      <c r="BC19" s="136">
        <f t="shared" si="15"/>
        <v>-0.56971306724846538</v>
      </c>
      <c r="BD19" s="140"/>
      <c r="BE19" s="139">
        <f t="shared" si="16"/>
        <v>0.16315397366253159</v>
      </c>
      <c r="BF19" s="139">
        <f t="shared" si="33"/>
        <v>-7.9689356777651599E-3</v>
      </c>
      <c r="BG19" s="139">
        <f t="shared" si="39"/>
        <v>-7.6297658882145791E-2</v>
      </c>
      <c r="BH19" s="140"/>
      <c r="BI19" s="140">
        <f t="shared" si="17"/>
        <v>-27.159272982175043</v>
      </c>
      <c r="BJ19" s="140">
        <f t="shared" si="18"/>
        <v>3.0737100737100675</v>
      </c>
      <c r="BK19" s="140">
        <f t="shared" si="19"/>
        <v>-14.051363862487499</v>
      </c>
      <c r="BL19" s="30"/>
      <c r="BM19" s="17">
        <f t="shared" si="6"/>
        <v>10.210415098874108</v>
      </c>
      <c r="BN19" s="17">
        <f t="shared" si="28"/>
        <v>8.9830584533715729</v>
      </c>
      <c r="BO19" s="17">
        <f t="shared" si="34"/>
        <v>7.9950091525412104</v>
      </c>
      <c r="BP19" s="44">
        <f t="shared" si="20"/>
        <v>27184.849648175536</v>
      </c>
      <c r="BQ19" s="44">
        <f t="shared" si="20"/>
        <v>7966.9614716111073</v>
      </c>
      <c r="BR19" s="44">
        <f t="shared" si="20"/>
        <v>2966.1175444444443</v>
      </c>
      <c r="BS19" s="44">
        <f t="shared" si="40"/>
        <v>38117.928664231091</v>
      </c>
      <c r="BT19" s="30"/>
      <c r="BU19" s="136"/>
      <c r="BV19" s="136"/>
      <c r="BW19" s="136"/>
      <c r="BX19" s="30"/>
      <c r="BY19" s="44"/>
      <c r="BZ19" s="44"/>
      <c r="CA19" s="30"/>
      <c r="CB19" s="44"/>
      <c r="CC19" s="44"/>
      <c r="CD19" s="30"/>
      <c r="CE19" s="44"/>
      <c r="CF19" s="44"/>
      <c r="CG19" s="30"/>
      <c r="CH19" s="140">
        <v>18</v>
      </c>
      <c r="CI19" s="140">
        <v>18</v>
      </c>
      <c r="CJ19" s="140">
        <v>18</v>
      </c>
      <c r="CK19" s="140">
        <f t="shared" si="35"/>
        <v>18.000000000000004</v>
      </c>
      <c r="CL19" s="30"/>
      <c r="CM19" s="157">
        <f t="shared" si="7"/>
        <v>4893.2729366715967</v>
      </c>
      <c r="CN19" s="157">
        <f t="shared" si="29"/>
        <v>1434.0530648899992</v>
      </c>
      <c r="CO19" s="157">
        <f t="shared" si="36"/>
        <v>533.90115800000001</v>
      </c>
      <c r="CP19" s="157"/>
      <c r="CQ19" s="44"/>
      <c r="CR19" s="44"/>
      <c r="CS19" s="157"/>
      <c r="CT19" s="44"/>
      <c r="CU19" s="44"/>
      <c r="CV19" s="157"/>
      <c r="CW19" s="44"/>
      <c r="CX19" s="44"/>
      <c r="CY19" s="157"/>
      <c r="CZ19" s="157">
        <f t="shared" si="37"/>
        <v>6861.2271595615957</v>
      </c>
      <c r="DA19" s="44"/>
      <c r="DB19" s="44"/>
      <c r="DC19" s="30"/>
      <c r="DD19" s="141">
        <f t="shared" si="41"/>
        <v>-8.312530110911224</v>
      </c>
      <c r="DE19" s="141">
        <f t="shared" si="42"/>
        <v>7.8949192862233402E-14</v>
      </c>
      <c r="DF19" s="141">
        <f t="shared" si="43"/>
        <v>-8.3125301109111582</v>
      </c>
    </row>
    <row r="20" spans="1:110" x14ac:dyDescent="0.15">
      <c r="A20" s="12">
        <f t="shared" si="21"/>
        <v>2010</v>
      </c>
      <c r="B20" s="44">
        <v>22710.188819559597</v>
      </c>
      <c r="C20" s="44">
        <v>20827.491619458317</v>
      </c>
      <c r="D20" s="44">
        <v>16484.671120529998</v>
      </c>
      <c r="E20" s="44">
        <v>7632.3164672631583</v>
      </c>
      <c r="F20" s="44">
        <v>10506.637622566841</v>
      </c>
      <c r="G20" s="44">
        <v>2129.8502368421055</v>
      </c>
      <c r="H20" s="134"/>
      <c r="I20" s="44">
        <v>22710.188819559597</v>
      </c>
      <c r="J20" s="44">
        <v>20827.491619458317</v>
      </c>
      <c r="K20" s="44">
        <v>16484.671120529998</v>
      </c>
      <c r="L20" s="44">
        <v>7632.3164672631583</v>
      </c>
      <c r="M20" s="44">
        <v>10506.637622566841</v>
      </c>
      <c r="N20" s="44">
        <v>2129.8502368421055</v>
      </c>
      <c r="O20" s="135"/>
      <c r="P20" s="136">
        <f t="shared" si="0"/>
        <v>10.030568949444591</v>
      </c>
      <c r="Q20" s="136">
        <f t="shared" si="1"/>
        <v>9.9440291054703174</v>
      </c>
      <c r="R20" s="136">
        <f t="shared" si="2"/>
        <v>9.7101862050811629</v>
      </c>
      <c r="S20" s="136">
        <f t="shared" si="26"/>
        <v>8.9401466781048065</v>
      </c>
      <c r="T20" s="136">
        <f t="shared" si="3"/>
        <v>9.2597624909502816</v>
      </c>
      <c r="U20" s="136">
        <f t="shared" si="30"/>
        <v>7.6638069448897781</v>
      </c>
      <c r="V20" s="135"/>
      <c r="W20" s="137">
        <v>100</v>
      </c>
      <c r="X20" s="138">
        <v>50122</v>
      </c>
      <c r="Y20" s="138">
        <v>10200.674999999999</v>
      </c>
      <c r="Z20" s="136"/>
      <c r="AA20" s="136">
        <f t="shared" si="4"/>
        <v>4.6051701859880918</v>
      </c>
      <c r="AB20" s="136">
        <f t="shared" si="4"/>
        <v>10.822215312443701</v>
      </c>
      <c r="AC20" s="136">
        <f t="shared" si="4"/>
        <v>9.2302091735533853</v>
      </c>
      <c r="AD20" s="136"/>
      <c r="AE20" s="136"/>
      <c r="AF20" s="136"/>
      <c r="AG20" s="136"/>
      <c r="AH20" s="136"/>
      <c r="AI20" s="136">
        <f t="shared" si="5"/>
        <v>0.27297794714615531</v>
      </c>
      <c r="AJ20" s="136">
        <f t="shared" si="27"/>
        <v>-2.1375186304767091E-2</v>
      </c>
      <c r="AK20" s="136">
        <f t="shared" si="31"/>
        <v>-0.28587684959819892</v>
      </c>
      <c r="AL20" s="136"/>
      <c r="AM20" s="136">
        <f t="shared" si="8"/>
        <v>-0.14927067014270001</v>
      </c>
      <c r="AN20" s="136">
        <f t="shared" si="9"/>
        <v>1.1049480684680368E-2</v>
      </c>
      <c r="AO20" s="136">
        <f t="shared" si="10"/>
        <v>1.0643155687008132E-2</v>
      </c>
      <c r="AP20" s="136"/>
      <c r="AQ20" s="136">
        <f t="shared" si="11"/>
        <v>-9.1946702499809352E-2</v>
      </c>
      <c r="AR20" s="136">
        <f t="shared" si="12"/>
        <v>6.0097042594869421E-2</v>
      </c>
      <c r="AS20" s="136">
        <f t="shared" si="22"/>
        <v>-0.19999747599863588</v>
      </c>
      <c r="AT20" s="139">
        <f t="shared" si="13"/>
        <v>-0.14426183635030831</v>
      </c>
      <c r="AU20" s="139">
        <f t="shared" si="32"/>
        <v>-2.3568321352991507E-2</v>
      </c>
      <c r="AV20" s="139">
        <f t="shared" si="38"/>
        <v>-2.4441118691385273E-2</v>
      </c>
      <c r="AW20" s="136">
        <f t="shared" si="14"/>
        <v>0</v>
      </c>
      <c r="AX20" s="136">
        <f t="shared" si="23"/>
        <v>-0.12582399999999999</v>
      </c>
      <c r="AY20" s="136">
        <f t="shared" si="24"/>
        <v>0</v>
      </c>
      <c r="AZ20" s="136"/>
      <c r="BA20" s="139">
        <f t="shared" si="25"/>
        <v>-0.23620853885011767</v>
      </c>
      <c r="BB20" s="136">
        <f t="shared" si="15"/>
        <v>-8.9295278758122071E-2</v>
      </c>
      <c r="BC20" s="136">
        <f t="shared" si="15"/>
        <v>-0.22443859469002114</v>
      </c>
      <c r="BD20" s="140"/>
      <c r="BE20" s="139">
        <f t="shared" si="16"/>
        <v>-3.0177454553673211E-2</v>
      </c>
      <c r="BF20" s="139">
        <f t="shared" si="33"/>
        <v>4.6383503491355588E-2</v>
      </c>
      <c r="BG20" s="139">
        <f t="shared" si="39"/>
        <v>-0.10676361296141113</v>
      </c>
      <c r="BH20" s="140"/>
      <c r="BI20" s="140">
        <f t="shared" si="17"/>
        <v>-13.866405457888675</v>
      </c>
      <c r="BJ20" s="140">
        <f t="shared" si="18"/>
        <v>1.1110751659248796</v>
      </c>
      <c r="BK20" s="140">
        <f t="shared" si="19"/>
        <v>1.0699995541324281</v>
      </c>
      <c r="BL20" s="30"/>
      <c r="BM20" s="17">
        <f t="shared" si="6"/>
        <v>9.9440291054703174</v>
      </c>
      <c r="BN20" s="17">
        <f t="shared" si="28"/>
        <v>8.9401466781048065</v>
      </c>
      <c r="BO20" s="17">
        <f t="shared" si="34"/>
        <v>7.6638069448897781</v>
      </c>
      <c r="BP20" s="44">
        <f t="shared" si="20"/>
        <v>20827.491619458335</v>
      </c>
      <c r="BQ20" s="44">
        <f t="shared" si="20"/>
        <v>7632.316467263161</v>
      </c>
      <c r="BR20" s="44">
        <f t="shared" si="20"/>
        <v>2129.8502368421055</v>
      </c>
      <c r="BS20" s="44">
        <f t="shared" si="40"/>
        <v>30589.658323563603</v>
      </c>
      <c r="BT20" s="30"/>
      <c r="BU20" s="136"/>
      <c r="BV20" s="136"/>
      <c r="BW20" s="136"/>
      <c r="BX20" s="30"/>
      <c r="BY20" s="44"/>
      <c r="BZ20" s="44"/>
      <c r="CA20" s="30"/>
      <c r="CB20" s="44"/>
      <c r="CC20" s="44"/>
      <c r="CD20" s="30"/>
      <c r="CE20" s="44"/>
      <c r="CF20" s="44"/>
      <c r="CG20" s="30"/>
      <c r="CH20" s="140">
        <v>18.999999999999996</v>
      </c>
      <c r="CI20" s="140">
        <v>18.999999999999996</v>
      </c>
      <c r="CJ20" s="140">
        <v>18.999999999999996</v>
      </c>
      <c r="CK20" s="140">
        <f t="shared" si="35"/>
        <v>19.000000000000011</v>
      </c>
      <c r="CL20" s="30"/>
      <c r="CM20" s="157">
        <f t="shared" si="7"/>
        <v>3957.2234076970826</v>
      </c>
      <c r="CN20" s="157">
        <f t="shared" si="29"/>
        <v>1450.1401287800004</v>
      </c>
      <c r="CO20" s="157">
        <f t="shared" si="36"/>
        <v>404.67154499999998</v>
      </c>
      <c r="CP20" s="157"/>
      <c r="CQ20" s="44"/>
      <c r="CR20" s="44"/>
      <c r="CS20" s="157"/>
      <c r="CT20" s="44"/>
      <c r="CU20" s="44"/>
      <c r="CV20" s="157"/>
      <c r="CW20" s="44"/>
      <c r="CX20" s="44"/>
      <c r="CY20" s="157"/>
      <c r="CZ20" s="157">
        <f t="shared" si="37"/>
        <v>5812.0350814770836</v>
      </c>
      <c r="DA20" s="44"/>
      <c r="DB20" s="44"/>
      <c r="DC20" s="30"/>
      <c r="DD20" s="141">
        <f t="shared" si="41"/>
        <v>-19.749946034533188</v>
      </c>
      <c r="DE20" s="141">
        <f t="shared" si="42"/>
        <v>5.5555555555555944</v>
      </c>
      <c r="DF20" s="141">
        <f t="shared" si="43"/>
        <v>-15.291609703118345</v>
      </c>
    </row>
    <row r="21" spans="1:110" x14ac:dyDescent="0.15">
      <c r="A21" s="12">
        <f t="shared" si="21"/>
        <v>2011</v>
      </c>
      <c r="B21" s="44">
        <v>26355.692994759636</v>
      </c>
      <c r="C21" s="44">
        <v>24159.48269102264</v>
      </c>
      <c r="D21" s="44">
        <v>16961.635666769998</v>
      </c>
      <c r="E21" s="44">
        <v>7390.4117355789476</v>
      </c>
      <c r="F21" s="44">
        <v>9249.9790424799994</v>
      </c>
      <c r="G21" s="44">
        <v>1853.8122952631575</v>
      </c>
      <c r="H21" s="134"/>
      <c r="I21" s="44">
        <v>26355.692994759636</v>
      </c>
      <c r="J21" s="44">
        <v>24159.48269102264</v>
      </c>
      <c r="K21" s="44">
        <v>16961.635666769998</v>
      </c>
      <c r="L21" s="44">
        <v>7390.4117355789476</v>
      </c>
      <c r="M21" s="44">
        <v>9249.9790424799994</v>
      </c>
      <c r="N21" s="44">
        <v>1853.8122952631575</v>
      </c>
      <c r="O21" s="135"/>
      <c r="P21" s="136">
        <f t="shared" si="0"/>
        <v>10.17943958356549</v>
      </c>
      <c r="Q21" s="136">
        <f t="shared" si="1"/>
        <v>10.092432240024095</v>
      </c>
      <c r="R21" s="136">
        <f t="shared" si="2"/>
        <v>9.7387093473117599</v>
      </c>
      <c r="S21" s="136">
        <f t="shared" si="26"/>
        <v>8.9079387276241686</v>
      </c>
      <c r="T21" s="136">
        <f t="shared" si="3"/>
        <v>9.1323765648260657</v>
      </c>
      <c r="U21" s="136">
        <f t="shared" si="30"/>
        <v>7.5249994978844894</v>
      </c>
      <c r="V21" s="135"/>
      <c r="W21" s="137">
        <v>101.03740152010769</v>
      </c>
      <c r="X21" s="138">
        <v>59576</v>
      </c>
      <c r="Y21" s="138">
        <v>9734.3083333333343</v>
      </c>
      <c r="Z21" s="136"/>
      <c r="AA21" s="136">
        <f t="shared" si="4"/>
        <v>4.6154907603729374</v>
      </c>
      <c r="AB21" s="136">
        <f t="shared" si="4"/>
        <v>10.995008087390481</v>
      </c>
      <c r="AC21" s="136">
        <f t="shared" si="4"/>
        <v>9.183411865804338</v>
      </c>
      <c r="AD21" s="136"/>
      <c r="AE21" s="136"/>
      <c r="AF21" s="136"/>
      <c r="AG21" s="136"/>
      <c r="AH21" s="136"/>
      <c r="AI21" s="136">
        <f t="shared" si="5"/>
        <v>0.19916594447010016</v>
      </c>
      <c r="AJ21" s="136">
        <f t="shared" si="27"/>
        <v>-6.4003676253741482E-2</v>
      </c>
      <c r="AK21" s="136">
        <f t="shared" si="31"/>
        <v>-0.3843792729530815</v>
      </c>
      <c r="AL21" s="136"/>
      <c r="AM21" s="136">
        <f t="shared" si="8"/>
        <v>0.17279277494677991</v>
      </c>
      <c r="AN21" s="136">
        <f t="shared" si="9"/>
        <v>1.0320574384845571E-2</v>
      </c>
      <c r="AO21" s="136">
        <f t="shared" si="10"/>
        <v>-4.6797307749047334E-2</v>
      </c>
      <c r="AP21" s="136"/>
      <c r="AQ21" s="136">
        <f t="shared" si="11"/>
        <v>0.10643568396229286</v>
      </c>
      <c r="AR21" s="136">
        <f t="shared" si="12"/>
        <v>5.6132592662885346E-2</v>
      </c>
      <c r="AS21" s="136">
        <f t="shared" si="22"/>
        <v>1.4057586462957211E-2</v>
      </c>
      <c r="AT21" s="139">
        <f t="shared" si="13"/>
        <v>-0.11335764126575389</v>
      </c>
      <c r="AU21" s="139">
        <f t="shared" si="32"/>
        <v>1.5409286306361377E-2</v>
      </c>
      <c r="AV21" s="139">
        <f t="shared" si="38"/>
        <v>0.12822348571973138</v>
      </c>
      <c r="AW21" s="136">
        <f t="shared" si="14"/>
        <v>0</v>
      </c>
      <c r="AX21" s="136">
        <f t="shared" si="23"/>
        <v>-0.12582399999999999</v>
      </c>
      <c r="AY21" s="136">
        <f t="shared" si="24"/>
        <v>0</v>
      </c>
      <c r="AZ21" s="136"/>
      <c r="BA21" s="139">
        <f t="shared" si="25"/>
        <v>-6.9219573034610266E-3</v>
      </c>
      <c r="BB21" s="136">
        <f t="shared" si="15"/>
        <v>-5.4282121030753264E-2</v>
      </c>
      <c r="BC21" s="136">
        <f t="shared" si="15"/>
        <v>0.14228107218268859</v>
      </c>
      <c r="BD21" s="140"/>
      <c r="BE21" s="139">
        <f t="shared" si="16"/>
        <v>0.15532509185723897</v>
      </c>
      <c r="BF21" s="139">
        <f t="shared" si="33"/>
        <v>2.2074170550115416E-2</v>
      </c>
      <c r="BG21" s="139">
        <f t="shared" si="39"/>
        <v>-0.28108851918797728</v>
      </c>
      <c r="BH21" s="140"/>
      <c r="BI21" s="140">
        <f t="shared" si="17"/>
        <v>18.861976776664946</v>
      </c>
      <c r="BJ21" s="140">
        <f t="shared" si="18"/>
        <v>1.0374015201076947</v>
      </c>
      <c r="BK21" s="140">
        <f t="shared" si="19"/>
        <v>-4.5719196687147186</v>
      </c>
      <c r="BL21" s="30"/>
      <c r="BM21" s="17">
        <f t="shared" si="6"/>
        <v>10.092432240024095</v>
      </c>
      <c r="BN21" s="17">
        <f t="shared" si="28"/>
        <v>8.9079387276241686</v>
      </c>
      <c r="BO21" s="17">
        <f t="shared" si="34"/>
        <v>7.5249994978844894</v>
      </c>
      <c r="BP21" s="44">
        <f t="shared" si="20"/>
        <v>24159.482691022647</v>
      </c>
      <c r="BQ21" s="44">
        <f t="shared" si="20"/>
        <v>7390.4117355789431</v>
      </c>
      <c r="BR21" s="44">
        <f t="shared" si="20"/>
        <v>1853.812295263157</v>
      </c>
      <c r="BS21" s="44">
        <f t="shared" si="40"/>
        <v>33403.70672186475</v>
      </c>
      <c r="BT21" s="30"/>
      <c r="BU21" s="136"/>
      <c r="BV21" s="136"/>
      <c r="BW21" s="136"/>
      <c r="BX21" s="30"/>
      <c r="BY21" s="44"/>
      <c r="BZ21" s="44"/>
      <c r="CA21" s="30"/>
      <c r="CB21" s="44"/>
      <c r="CC21" s="44"/>
      <c r="CD21" s="30"/>
      <c r="CE21" s="44"/>
      <c r="CF21" s="44"/>
      <c r="CG21" s="30"/>
      <c r="CH21" s="140">
        <v>19</v>
      </c>
      <c r="CI21" s="140">
        <v>19.000000000000004</v>
      </c>
      <c r="CJ21" s="140">
        <v>19.000000000000004</v>
      </c>
      <c r="CK21" s="140">
        <f t="shared" si="35"/>
        <v>18.999999999999996</v>
      </c>
      <c r="CL21" s="30"/>
      <c r="CM21" s="157">
        <f t="shared" si="7"/>
        <v>4590.3017112943025</v>
      </c>
      <c r="CN21" s="157">
        <f t="shared" si="29"/>
        <v>1404.1782297599993</v>
      </c>
      <c r="CO21" s="157">
        <f t="shared" si="36"/>
        <v>352.2243360999999</v>
      </c>
      <c r="CP21" s="157"/>
      <c r="CQ21" s="44"/>
      <c r="CR21" s="44"/>
      <c r="CS21" s="157"/>
      <c r="CT21" s="44"/>
      <c r="CU21" s="44"/>
      <c r="CV21" s="157"/>
      <c r="CW21" s="44"/>
      <c r="CX21" s="44"/>
      <c r="CY21" s="157"/>
      <c r="CZ21" s="157">
        <f t="shared" si="37"/>
        <v>6346.704277154302</v>
      </c>
      <c r="DA21" s="44"/>
      <c r="DB21" s="44"/>
      <c r="DC21" s="30"/>
      <c r="DD21" s="141">
        <f t="shared" si="41"/>
        <v>9.19934563680129</v>
      </c>
      <c r="DE21" s="141">
        <f t="shared" si="42"/>
        <v>-7.4793972185273659E-14</v>
      </c>
      <c r="DF21" s="141">
        <f t="shared" si="43"/>
        <v>9.1993456368012207</v>
      </c>
    </row>
    <row r="22" spans="1:110" x14ac:dyDescent="0.15">
      <c r="A22" s="12">
        <f t="shared" si="21"/>
        <v>2012</v>
      </c>
      <c r="B22" s="44">
        <v>23178.728764457839</v>
      </c>
      <c r="C22" s="44">
        <v>22095.146732391178</v>
      </c>
      <c r="D22" s="44">
        <v>16751.068182179999</v>
      </c>
      <c r="E22" s="44">
        <v>6906.7690000000002</v>
      </c>
      <c r="F22" s="44">
        <v>7418.5720832128573</v>
      </c>
      <c r="G22" s="44">
        <v>1700.386</v>
      </c>
      <c r="H22" s="134"/>
      <c r="I22" s="44">
        <v>23178.728764457839</v>
      </c>
      <c r="J22" s="44">
        <v>22095.146732391178</v>
      </c>
      <c r="K22" s="44">
        <v>16751.068182179999</v>
      </c>
      <c r="L22" s="44">
        <v>6906.7690000000002</v>
      </c>
      <c r="M22" s="44">
        <v>7418.5720832128573</v>
      </c>
      <c r="N22" s="44">
        <v>1700.386</v>
      </c>
      <c r="O22" s="135"/>
      <c r="P22" s="136">
        <f t="shared" si="0"/>
        <v>10.050990273476922</v>
      </c>
      <c r="Q22" s="136">
        <f t="shared" si="1"/>
        <v>10.003113258519987</v>
      </c>
      <c r="R22" s="136">
        <f t="shared" si="2"/>
        <v>9.7262173072903089</v>
      </c>
      <c r="S22" s="136">
        <f t="shared" si="26"/>
        <v>8.8402572241978614</v>
      </c>
      <c r="T22" s="136">
        <f t="shared" si="3"/>
        <v>8.9117418760266442</v>
      </c>
      <c r="U22" s="136">
        <f t="shared" si="30"/>
        <v>7.4386105630938832</v>
      </c>
      <c r="V22" s="135"/>
      <c r="W22" s="137">
        <v>101.59293883279909</v>
      </c>
      <c r="X22" s="138">
        <v>57359</v>
      </c>
      <c r="Y22" s="138">
        <v>7583.1833333333334</v>
      </c>
      <c r="Z22" s="136"/>
      <c r="AA22" s="136">
        <f t="shared" si="4"/>
        <v>4.6209740330519926</v>
      </c>
      <c r="AB22" s="136">
        <f t="shared" si="4"/>
        <v>10.957085041369789</v>
      </c>
      <c r="AC22" s="136">
        <f t="shared" si="4"/>
        <v>8.9336883552955761</v>
      </c>
      <c r="AD22" s="136"/>
      <c r="AE22" s="136"/>
      <c r="AF22" s="136"/>
      <c r="AG22" s="136"/>
      <c r="AH22" s="136"/>
      <c r="AI22" s="136">
        <f t="shared" si="5"/>
        <v>0.1586167965325691</v>
      </c>
      <c r="AJ22" s="136">
        <f t="shared" si="27"/>
        <v>-0.13722156333827318</v>
      </c>
      <c r="AK22" s="136">
        <f t="shared" si="31"/>
        <v>-0.25568933929482718</v>
      </c>
      <c r="AL22" s="136"/>
      <c r="AM22" s="136">
        <f t="shared" si="8"/>
        <v>-3.7923046020692297E-2</v>
      </c>
      <c r="AN22" s="136">
        <f t="shared" si="9"/>
        <v>5.48327267905524E-3</v>
      </c>
      <c r="AO22" s="136">
        <f t="shared" si="10"/>
        <v>-0.24972351050876185</v>
      </c>
      <c r="AP22" s="136"/>
      <c r="AQ22" s="136">
        <f t="shared" si="11"/>
        <v>-2.3359572426503897E-2</v>
      </c>
      <c r="AR22" s="136">
        <f t="shared" si="12"/>
        <v>2.98229827406589E-2</v>
      </c>
      <c r="AS22" s="136">
        <f t="shared" si="22"/>
        <v>-6.1810352048019213E-2</v>
      </c>
      <c r="AT22" s="139">
        <f t="shared" si="13"/>
        <v>-8.2706247598487201E-2</v>
      </c>
      <c r="AU22" s="139">
        <f t="shared" si="32"/>
        <v>4.6139994196617219E-2</v>
      </c>
      <c r="AV22" s="139">
        <f t="shared" si="38"/>
        <v>0.17240448215982679</v>
      </c>
      <c r="AW22" s="136">
        <f t="shared" si="14"/>
        <v>0</v>
      </c>
      <c r="AX22" s="136">
        <f t="shared" si="23"/>
        <v>-0.12582399999999999</v>
      </c>
      <c r="AY22" s="136">
        <f t="shared" si="24"/>
        <v>0</v>
      </c>
      <c r="AZ22" s="136"/>
      <c r="BA22" s="139">
        <f t="shared" si="25"/>
        <v>-0.1060658200249911</v>
      </c>
      <c r="BB22" s="136">
        <f t="shared" si="15"/>
        <v>-4.9861023062723872E-2</v>
      </c>
      <c r="BC22" s="136">
        <f t="shared" si="15"/>
        <v>0.11059413011180758</v>
      </c>
      <c r="BD22" s="140"/>
      <c r="BE22" s="139">
        <f t="shared" si="16"/>
        <v>1.6746838520882434E-2</v>
      </c>
      <c r="BF22" s="139">
        <f t="shared" si="33"/>
        <v>-1.7820480363583316E-2</v>
      </c>
      <c r="BG22" s="139">
        <f t="shared" si="39"/>
        <v>-0.19698306490241374</v>
      </c>
      <c r="BH22" s="140"/>
      <c r="BI22" s="140">
        <f t="shared" si="17"/>
        <v>-3.7212971666442884</v>
      </c>
      <c r="BJ22" s="140">
        <f t="shared" si="18"/>
        <v>0.54983333333333828</v>
      </c>
      <c r="BK22" s="140">
        <f t="shared" si="19"/>
        <v>-22.098385692529099</v>
      </c>
      <c r="BL22" s="30"/>
      <c r="BM22" s="17">
        <f t="shared" si="6"/>
        <v>10.003113258519987</v>
      </c>
      <c r="BN22" s="17">
        <f t="shared" si="28"/>
        <v>8.8402572241978614</v>
      </c>
      <c r="BO22" s="17">
        <f t="shared" si="34"/>
        <v>7.4386105630938832</v>
      </c>
      <c r="BP22" s="44">
        <f t="shared" si="20"/>
        <v>22095.146732391178</v>
      </c>
      <c r="BQ22" s="44">
        <f t="shared" si="20"/>
        <v>6906.7689999999993</v>
      </c>
      <c r="BR22" s="44">
        <f t="shared" si="20"/>
        <v>1700.3859999999995</v>
      </c>
      <c r="BS22" s="44">
        <f t="shared" si="40"/>
        <v>30702.301732391177</v>
      </c>
      <c r="BT22" s="30"/>
      <c r="BU22" s="136"/>
      <c r="BV22" s="136"/>
      <c r="BW22" s="136"/>
      <c r="BX22" s="30"/>
      <c r="BY22" s="44"/>
      <c r="BZ22" s="44"/>
      <c r="CA22" s="30"/>
      <c r="CB22" s="44"/>
      <c r="CC22" s="44"/>
      <c r="CD22" s="30"/>
      <c r="CE22" s="44"/>
      <c r="CF22" s="44"/>
      <c r="CG22" s="30"/>
      <c r="CH22" s="140">
        <v>21</v>
      </c>
      <c r="CI22" s="140">
        <v>20.999992905510524</v>
      </c>
      <c r="CJ22" s="140">
        <v>20.999996471389441</v>
      </c>
      <c r="CK22" s="140">
        <f t="shared" si="35"/>
        <v>20.999998208603369</v>
      </c>
      <c r="CL22" s="30"/>
      <c r="CM22" s="157">
        <f t="shared" si="7"/>
        <v>4639.9808138021481</v>
      </c>
      <c r="CN22" s="157">
        <f t="shared" si="29"/>
        <v>1450.421</v>
      </c>
      <c r="CO22" s="157">
        <f t="shared" si="36"/>
        <v>357.08099999999996</v>
      </c>
      <c r="CP22" s="157"/>
      <c r="CQ22" s="44"/>
      <c r="CR22" s="44"/>
      <c r="CS22" s="157"/>
      <c r="CT22" s="44"/>
      <c r="CU22" s="44"/>
      <c r="CV22" s="157"/>
      <c r="CW22" s="44"/>
      <c r="CX22" s="44"/>
      <c r="CY22" s="157"/>
      <c r="CZ22" s="157">
        <f t="shared" si="37"/>
        <v>6447.4828138021485</v>
      </c>
      <c r="DA22" s="44"/>
      <c r="DB22" s="44"/>
      <c r="DC22" s="30"/>
      <c r="DD22" s="141">
        <f t="shared" si="41"/>
        <v>-8.0871413821428977</v>
      </c>
      <c r="DE22" s="141">
        <f t="shared" si="42"/>
        <v>10.526306361070384</v>
      </c>
      <c r="DF22" s="141">
        <f t="shared" si="43"/>
        <v>1.5878877011902153</v>
      </c>
    </row>
    <row r="23" spans="1:110" ht="11.25" thickBot="1" x14ac:dyDescent="0.2">
      <c r="A23" s="12">
        <f t="shared" si="21"/>
        <v>2013</v>
      </c>
      <c r="B23" s="44">
        <v>21577.714507507328</v>
      </c>
      <c r="C23" s="44">
        <v>20388.676454197139</v>
      </c>
      <c r="D23" s="44">
        <v>16106.433496787082</v>
      </c>
      <c r="E23" s="44">
        <v>6358.6140000000005</v>
      </c>
      <c r="F23" s="44">
        <v>7751.7421904761904</v>
      </c>
      <c r="G23" s="44">
        <v>1408.386</v>
      </c>
      <c r="H23" s="134"/>
      <c r="I23" s="44">
        <v>21577.714507507328</v>
      </c>
      <c r="J23" s="44">
        <v>20388.676454197139</v>
      </c>
      <c r="K23" s="44">
        <v>16106.433496787082</v>
      </c>
      <c r="L23" s="44">
        <v>6358.6140000000005</v>
      </c>
      <c r="M23" s="44">
        <v>7751.7421904761904</v>
      </c>
      <c r="N23" s="44">
        <v>1408.386</v>
      </c>
      <c r="O23" s="135"/>
      <c r="P23" s="136">
        <f t="shared" si="0"/>
        <v>9.9794163253029939</v>
      </c>
      <c r="Q23" s="136">
        <f t="shared" si="1"/>
        <v>9.9227349499460686</v>
      </c>
      <c r="R23" s="136">
        <f t="shared" si="2"/>
        <v>9.6869740672290376</v>
      </c>
      <c r="S23" s="136">
        <f t="shared" si="26"/>
        <v>8.7575657080568661</v>
      </c>
      <c r="T23" s="136">
        <f t="shared" si="3"/>
        <v>8.9556728958550558</v>
      </c>
      <c r="U23" s="136">
        <f t="shared" si="30"/>
        <v>7.2501996468736385</v>
      </c>
      <c r="V23" s="135"/>
      <c r="W23" s="137">
        <v>101.4040830897911</v>
      </c>
      <c r="X23" s="138">
        <v>55598</v>
      </c>
      <c r="Y23" s="138">
        <v>8715.5916666666672</v>
      </c>
      <c r="Z23" s="136"/>
      <c r="AA23" s="136">
        <f t="shared" si="4"/>
        <v>4.6191133575040855</v>
      </c>
      <c r="AB23" s="136">
        <f t="shared" si="4"/>
        <v>10.925902508368672</v>
      </c>
      <c r="AC23" s="136">
        <f t="shared" si="4"/>
        <v>9.072868846259718</v>
      </c>
      <c r="AD23" s="136"/>
      <c r="AE23" s="136"/>
      <c r="AF23" s="136"/>
      <c r="AG23" s="136"/>
      <c r="AH23" s="136"/>
      <c r="AI23" s="136">
        <f t="shared" si="5"/>
        <v>0.11833988023127961</v>
      </c>
      <c r="AJ23" s="136">
        <f t="shared" si="27"/>
        <v>-0.21803438142800502</v>
      </c>
      <c r="AK23" s="136">
        <f t="shared" si="31"/>
        <v>-0.56397195860677662</v>
      </c>
      <c r="AL23" s="136"/>
      <c r="AM23" s="136">
        <f t="shared" si="8"/>
        <v>-3.1182533001116397E-2</v>
      </c>
      <c r="AN23" s="136">
        <f t="shared" si="9"/>
        <v>-1.8606755479071424E-3</v>
      </c>
      <c r="AO23" s="136">
        <f t="shared" si="10"/>
        <v>0.13918049096414187</v>
      </c>
      <c r="AP23" s="136"/>
      <c r="AQ23" s="136">
        <f t="shared" si="11"/>
        <v>-1.920759840029667E-2</v>
      </c>
      <c r="AR23" s="136">
        <f t="shared" si="12"/>
        <v>-1.0120031958863253E-2</v>
      </c>
      <c r="AS23" s="136">
        <f t="shared" si="22"/>
        <v>-0.32983730991507776</v>
      </c>
      <c r="AT23" s="139">
        <f t="shared" si="13"/>
        <v>-6.5867686778504242E-2</v>
      </c>
      <c r="AU23" s="139">
        <f t="shared" si="32"/>
        <v>9.8922476124307782E-2</v>
      </c>
      <c r="AV23" s="139">
        <f t="shared" si="38"/>
        <v>0.11468357228589095</v>
      </c>
      <c r="AW23" s="136">
        <f t="shared" si="14"/>
        <v>0</v>
      </c>
      <c r="AX23" s="136">
        <f t="shared" si="23"/>
        <v>-0.12582399999999999</v>
      </c>
      <c r="AY23" s="136">
        <f t="shared" si="24"/>
        <v>0</v>
      </c>
      <c r="AZ23" s="136"/>
      <c r="BA23" s="139">
        <f t="shared" si="25"/>
        <v>-8.5075285178800919E-2</v>
      </c>
      <c r="BB23" s="136">
        <f t="shared" si="15"/>
        <v>-3.7021555834555464E-2</v>
      </c>
      <c r="BC23" s="136">
        <f t="shared" si="15"/>
        <v>-0.21515373762918683</v>
      </c>
      <c r="BD23" s="140"/>
      <c r="BE23" s="139">
        <f t="shared" si="16"/>
        <v>4.6969766048828854E-3</v>
      </c>
      <c r="BF23" s="139">
        <f t="shared" si="33"/>
        <v>-4.5669960306439883E-2</v>
      </c>
      <c r="BG23" s="139">
        <f t="shared" si="39"/>
        <v>2.6742821408942075E-2</v>
      </c>
      <c r="BH23" s="140"/>
      <c r="BI23" s="140">
        <f t="shared" si="17"/>
        <v>-3.0701372060182308</v>
      </c>
      <c r="BJ23" s="140">
        <f t="shared" si="18"/>
        <v>-0.18589455643055475</v>
      </c>
      <c r="BK23" s="140">
        <f t="shared" si="19"/>
        <v>14.933152523896087</v>
      </c>
      <c r="BL23" s="30"/>
      <c r="BM23" s="17">
        <f t="shared" si="6"/>
        <v>9.9227349499460686</v>
      </c>
      <c r="BN23" s="17">
        <f t="shared" si="28"/>
        <v>8.7575657080568661</v>
      </c>
      <c r="BO23" s="17">
        <f t="shared" si="34"/>
        <v>7.2501996468736385</v>
      </c>
      <c r="BP23" s="44">
        <f t="shared" si="20"/>
        <v>20388.67645419715</v>
      </c>
      <c r="BQ23" s="44">
        <f t="shared" si="20"/>
        <v>6358.6140000000032</v>
      </c>
      <c r="BR23" s="44">
        <f t="shared" si="20"/>
        <v>1408.3859999999995</v>
      </c>
      <c r="BS23" s="44">
        <f t="shared" si="40"/>
        <v>28155.67645419715</v>
      </c>
      <c r="BT23" s="30"/>
      <c r="BU23" s="136"/>
      <c r="BV23" s="136"/>
      <c r="BW23" s="136"/>
      <c r="BX23" s="30"/>
      <c r="BY23" s="44">
        <f>BM23</f>
        <v>9.9227349499460686</v>
      </c>
      <c r="BZ23" s="44">
        <f>BM23</f>
        <v>9.9227349499460686</v>
      </c>
      <c r="CA23" s="30"/>
      <c r="CB23" s="44">
        <f>BP23</f>
        <v>20388.67645419715</v>
      </c>
      <c r="CC23" s="44">
        <f>BP23</f>
        <v>20388.67645419715</v>
      </c>
      <c r="CD23" s="30"/>
      <c r="CE23" s="44">
        <f>BT23</f>
        <v>0</v>
      </c>
      <c r="CF23" s="44">
        <f>BT23</f>
        <v>0</v>
      </c>
      <c r="CG23" s="30"/>
      <c r="CH23" s="140">
        <v>21</v>
      </c>
      <c r="CI23" s="140">
        <v>21.000000943601862</v>
      </c>
      <c r="CJ23" s="140">
        <v>20.999995739804284</v>
      </c>
      <c r="CK23" s="140">
        <f t="shared" si="35"/>
        <v>21.000000000000014</v>
      </c>
      <c r="CL23" s="30"/>
      <c r="CM23" s="157">
        <f t="shared" si="7"/>
        <v>4281.6220553814019</v>
      </c>
      <c r="CN23" s="157">
        <f t="shared" si="29"/>
        <v>1335.3090000000009</v>
      </c>
      <c r="CO23" s="157">
        <f t="shared" si="36"/>
        <v>295.76099999999985</v>
      </c>
      <c r="CP23" s="157"/>
      <c r="CQ23" s="157">
        <f t="shared" ref="CQ23:CQ28" si="44">+CH23*BY23/100</f>
        <v>2.0837743394886745</v>
      </c>
      <c r="CR23" s="157">
        <f t="shared" ref="CR23:CR28" si="45">+CH23*BZ23/100</f>
        <v>2.0837743394886745</v>
      </c>
      <c r="CS23" s="157"/>
      <c r="CT23" s="157">
        <f t="shared" ref="CT23:CT28" si="46">+CI23*CB23/100</f>
        <v>4281.6222477693318</v>
      </c>
      <c r="CU23" s="157">
        <f t="shared" ref="CU23:CU28" si="47">+CI23*CC23/100</f>
        <v>4281.6222477693318</v>
      </c>
      <c r="CV23" s="157"/>
      <c r="CW23" s="157">
        <f t="shared" ref="CW23:CW28" si="48">+CJ23*CE23/100</f>
        <v>0</v>
      </c>
      <c r="CX23" s="157">
        <f t="shared" ref="CX23:CX28" si="49">+CJ23*CF23/100</f>
        <v>0</v>
      </c>
      <c r="CY23" s="157"/>
      <c r="CZ23" s="157">
        <f t="shared" si="37"/>
        <v>5912.6920553814025</v>
      </c>
      <c r="DA23" s="44">
        <f t="shared" ref="DA23:DB28" si="50">+CQ23+CT23+CW23</f>
        <v>4283.7060221088204</v>
      </c>
      <c r="DB23" s="44">
        <f t="shared" si="50"/>
        <v>4283.7060221088204</v>
      </c>
      <c r="DC23" s="30"/>
      <c r="DD23" s="141">
        <f t="shared" si="41"/>
        <v>-8.2945744602181666</v>
      </c>
      <c r="DE23" s="141">
        <f t="shared" si="42"/>
        <v>8.5304609431419197E-6</v>
      </c>
      <c r="DF23" s="141">
        <f t="shared" si="43"/>
        <v>-8.2945666373226707</v>
      </c>
    </row>
    <row r="24" spans="1:110" s="105" customFormat="1" x14ac:dyDescent="0.15">
      <c r="A24" s="104">
        <f>A23+1</f>
        <v>2014</v>
      </c>
      <c r="B24" s="142"/>
      <c r="C24" s="142"/>
      <c r="D24" s="142"/>
      <c r="E24" s="142"/>
      <c r="F24" s="142"/>
      <c r="G24" s="142"/>
      <c r="H24" s="143"/>
      <c r="I24" s="151"/>
      <c r="J24" s="113">
        <f>+BP24</f>
        <v>19357.225539356026</v>
      </c>
      <c r="K24" s="113"/>
      <c r="L24" s="113">
        <f>+BQ24</f>
        <v>6379.619543853215</v>
      </c>
      <c r="M24" s="113"/>
      <c r="N24" s="113">
        <f t="shared" ref="N24:N28" si="51">+BR24</f>
        <v>2179.7975441663284</v>
      </c>
      <c r="O24" s="144"/>
      <c r="P24" s="142"/>
      <c r="Q24" s="142"/>
      <c r="R24" s="142"/>
      <c r="S24" s="142"/>
      <c r="T24" s="142"/>
      <c r="U24" s="142"/>
      <c r="V24" s="144"/>
      <c r="W24" s="145">
        <v>100.88230910877434</v>
      </c>
      <c r="X24" s="146">
        <f>X23*(1+BI24/100)</f>
        <v>55348.384014825082</v>
      </c>
      <c r="Y24" s="146">
        <v>10504.390833333335</v>
      </c>
      <c r="Z24" s="142"/>
      <c r="AA24" s="147">
        <f t="shared" si="4"/>
        <v>4.6139545810534459</v>
      </c>
      <c r="AB24" s="147">
        <f t="shared" si="4"/>
        <v>10.921402741953127</v>
      </c>
      <c r="AC24" s="147">
        <f t="shared" si="4"/>
        <v>9.2595486233381585</v>
      </c>
      <c r="AD24" s="142"/>
      <c r="AE24" s="147"/>
      <c r="AF24" s="147"/>
      <c r="AG24" s="147"/>
      <c r="AH24" s="147"/>
      <c r="AI24" s="147">
        <f>BM24-$AE$4-$AB$4*AB24</f>
        <v>7.2212766034001064E-2</v>
      </c>
      <c r="AJ24" s="147">
        <f t="shared" si="27"/>
        <v>-0.20952760318967822</v>
      </c>
      <c r="AK24" s="147">
        <f t="shared" si="31"/>
        <v>-0.28796564190320062</v>
      </c>
      <c r="AL24" s="147"/>
      <c r="AM24" s="147">
        <f t="shared" si="8"/>
        <v>-4.499766415545281E-3</v>
      </c>
      <c r="AN24" s="147">
        <f t="shared" si="9"/>
        <v>-5.1587764506395573E-3</v>
      </c>
      <c r="AO24" s="147">
        <f t="shared" si="10"/>
        <v>0.18667977707844052</v>
      </c>
      <c r="AP24" s="147"/>
      <c r="AQ24" s="147">
        <f t="shared" si="11"/>
        <v>-2.7717346182826734E-3</v>
      </c>
      <c r="AR24" s="147">
        <f t="shared" si="12"/>
        <v>-2.8058079554936388E-2</v>
      </c>
      <c r="AS24" s="147">
        <f t="shared" si="22"/>
        <v>0.18383098427034822</v>
      </c>
      <c r="AT24" s="147">
        <f t="shared" si="13"/>
        <v>-4.9142173684481864E-2</v>
      </c>
      <c r="AU24" s="147">
        <f t="shared" si="32"/>
        <v>0.1571801134339231</v>
      </c>
      <c r="AV24" s="147">
        <f t="shared" si="38"/>
        <v>0.2529566506780217</v>
      </c>
      <c r="AW24" s="147">
        <f t="shared" si="14"/>
        <v>0</v>
      </c>
      <c r="AX24" s="147">
        <f>+$AX$4</f>
        <v>-0.12582399999999999</v>
      </c>
      <c r="AY24" s="147">
        <f t="shared" si="24"/>
        <v>0</v>
      </c>
      <c r="AZ24" s="147"/>
      <c r="BA24" s="148">
        <f t="shared" si="25"/>
        <v>-5.1913908302764537E-2</v>
      </c>
      <c r="BB24" s="147">
        <f t="shared" si="15"/>
        <v>3.2980338789867225E-3</v>
      </c>
      <c r="BC24" s="147">
        <f t="shared" si="15"/>
        <v>0.43678763494836992</v>
      </c>
      <c r="BD24" s="142"/>
      <c r="BE24" s="147"/>
      <c r="BF24" s="147"/>
      <c r="BG24" s="147"/>
      <c r="BH24" s="142"/>
      <c r="BI24" s="149">
        <f>Resultados_capital!C6</f>
        <v>-0.44896576347156203</v>
      </c>
      <c r="BJ24" s="150">
        <f t="shared" si="18"/>
        <v>-0.51454928156565716</v>
      </c>
      <c r="BK24" s="150">
        <f t="shared" si="19"/>
        <v>20.524127736594664</v>
      </c>
      <c r="BL24" s="142"/>
      <c r="BM24" s="128">
        <f t="shared" ref="BM24:BO28" si="52">BM23+BA24</f>
        <v>9.8708210416433033</v>
      </c>
      <c r="BN24" s="128">
        <f t="shared" si="52"/>
        <v>8.7608637419358519</v>
      </c>
      <c r="BO24" s="128">
        <f t="shared" si="52"/>
        <v>7.6869872818220086</v>
      </c>
      <c r="BP24" s="151">
        <f t="shared" si="20"/>
        <v>19357.225539356026</v>
      </c>
      <c r="BQ24" s="151">
        <f t="shared" si="20"/>
        <v>6379.619543853215</v>
      </c>
      <c r="BR24" s="151">
        <f t="shared" si="20"/>
        <v>2179.7975441663284</v>
      </c>
      <c r="BS24" s="151">
        <f t="shared" si="40"/>
        <v>27916.642627375571</v>
      </c>
      <c r="BT24" s="142"/>
      <c r="BU24" s="151">
        <v>7741.7766943010802</v>
      </c>
      <c r="BV24" s="151">
        <v>7741.7766943010802</v>
      </c>
      <c r="BW24" s="151">
        <v>7741.7766943010802</v>
      </c>
      <c r="BX24" s="142"/>
      <c r="BY24" s="151">
        <f>BM24-BU24</f>
        <v>-7731.9058732594367</v>
      </c>
      <c r="BZ24" s="151">
        <f>BM24+BU24</f>
        <v>7751.6475153427236</v>
      </c>
      <c r="CA24" s="142"/>
      <c r="CB24" s="151">
        <f>BP24-BX24</f>
        <v>19357.225539356026</v>
      </c>
      <c r="CC24" s="151">
        <f>BP24+BX24</f>
        <v>19357.225539356026</v>
      </c>
      <c r="CD24" s="142"/>
      <c r="CE24" s="151">
        <f>BT24-CA24</f>
        <v>0</v>
      </c>
      <c r="CF24" s="151">
        <f>BT24+CA24</f>
        <v>0</v>
      </c>
      <c r="CG24" s="142"/>
      <c r="CH24" s="150">
        <f>+Resultados_capital!F6</f>
        <v>21</v>
      </c>
      <c r="CI24" s="150">
        <f>+Resultados_capital!G6</f>
        <v>21.000000943601862</v>
      </c>
      <c r="CJ24" s="150">
        <f>+Resultados_capital!H6</f>
        <v>20.999995739804284</v>
      </c>
      <c r="CK24" s="150">
        <f t="shared" si="35"/>
        <v>20.999999882989393</v>
      </c>
      <c r="CL24" s="142"/>
      <c r="CM24" s="151">
        <f t="shared" si="7"/>
        <v>4065.0173632647657</v>
      </c>
      <c r="CN24" s="151">
        <f t="shared" si="29"/>
        <v>1339.7201644073839</v>
      </c>
      <c r="CO24" s="151">
        <f t="shared" si="36"/>
        <v>457.75739141128741</v>
      </c>
      <c r="CP24" s="151"/>
      <c r="CQ24" s="151">
        <f t="shared" si="44"/>
        <v>-1623.7002333844816</v>
      </c>
      <c r="CR24" s="151">
        <f t="shared" si="45"/>
        <v>1627.8459782219718</v>
      </c>
      <c r="CS24" s="151"/>
      <c r="CT24" s="151">
        <f t="shared" si="46"/>
        <v>4065.0175459199063</v>
      </c>
      <c r="CU24" s="151">
        <f t="shared" si="47"/>
        <v>4065.0175459199063</v>
      </c>
      <c r="CV24" s="151"/>
      <c r="CW24" s="151">
        <f t="shared" si="48"/>
        <v>0</v>
      </c>
      <c r="CX24" s="151">
        <f t="shared" si="49"/>
        <v>0</v>
      </c>
      <c r="CY24" s="151"/>
      <c r="CZ24" s="151">
        <f t="shared" si="37"/>
        <v>5862.4949190834368</v>
      </c>
      <c r="DA24" s="151">
        <f t="shared" si="50"/>
        <v>2441.3173125354247</v>
      </c>
      <c r="DB24" s="151">
        <f t="shared" si="50"/>
        <v>5692.8635241418779</v>
      </c>
      <c r="DC24" s="142"/>
      <c r="DD24" s="152">
        <f t="shared" si="41"/>
        <v>-0.84897206149680271</v>
      </c>
      <c r="DE24" s="152">
        <f t="shared" si="42"/>
        <v>-5.5719343636372341E-7</v>
      </c>
      <c r="DF24" s="152">
        <f t="shared" si="43"/>
        <v>-0.84897261395981316</v>
      </c>
    </row>
    <row r="25" spans="1:110" s="105" customFormat="1" x14ac:dyDescent="0.15">
      <c r="A25" s="104">
        <f t="shared" si="21"/>
        <v>2015</v>
      </c>
      <c r="B25" s="142"/>
      <c r="C25" s="142"/>
      <c r="D25" s="142"/>
      <c r="E25" s="142"/>
      <c r="F25" s="142"/>
      <c r="G25" s="142"/>
      <c r="H25" s="143"/>
      <c r="I25" s="151"/>
      <c r="J25" s="113">
        <f>+BP25</f>
        <v>19119.712361742942</v>
      </c>
      <c r="K25" s="113"/>
      <c r="L25" s="113">
        <f>+BQ25</f>
        <v>7444.040171502279</v>
      </c>
      <c r="M25" s="113"/>
      <c r="N25" s="113">
        <f t="shared" si="51"/>
        <v>3173.8992669783829</v>
      </c>
      <c r="O25" s="144"/>
      <c r="P25" s="142"/>
      <c r="Q25" s="142"/>
      <c r="R25" s="142"/>
      <c r="S25" s="142"/>
      <c r="T25" s="142"/>
      <c r="U25" s="142"/>
      <c r="V25" s="144"/>
      <c r="W25" s="146">
        <f>W24*(1+BJ25/100)</f>
        <v>103.30519010009164</v>
      </c>
      <c r="X25" s="146">
        <f>X24*(1+BI25/100)</f>
        <v>56956.472731719638</v>
      </c>
      <c r="Y25" s="146">
        <f>Y24*(1+BK25/100)</f>
        <v>11103.110371573446</v>
      </c>
      <c r="Z25" s="142"/>
      <c r="AA25" s="147">
        <f t="shared" si="4"/>
        <v>4.637687617845951</v>
      </c>
      <c r="AB25" s="147">
        <f t="shared" si="4"/>
        <v>10.950042618812358</v>
      </c>
      <c r="AC25" s="147">
        <f t="shared" si="4"/>
        <v>9.3149805617031767</v>
      </c>
      <c r="AD25" s="142"/>
      <c r="AE25" s="147"/>
      <c r="AF25" s="147"/>
      <c r="AG25" s="147"/>
      <c r="AH25" s="147"/>
      <c r="AI25" s="147">
        <f>BM25-$AE$4-$AB$4*AB25</f>
        <v>2.3035383962648481E-2</v>
      </c>
      <c r="AJ25" s="147">
        <f t="shared" si="27"/>
        <v>-7.9185245870700527E-2</v>
      </c>
      <c r="AK25" s="147">
        <f t="shared" si="31"/>
        <v>4.00214852339289E-2</v>
      </c>
      <c r="AL25" s="147"/>
      <c r="AM25" s="147">
        <f t="shared" si="8"/>
        <v>2.863987685923064E-2</v>
      </c>
      <c r="AN25" s="147">
        <f t="shared" si="9"/>
        <v>2.3733036792505047E-2</v>
      </c>
      <c r="AO25" s="147">
        <f t="shared" si="10"/>
        <v>5.5431938365018141E-2</v>
      </c>
      <c r="AP25" s="147"/>
      <c r="AQ25" s="147">
        <f t="shared" si="11"/>
        <v>1.7641390868610874E-2</v>
      </c>
      <c r="AR25" s="147">
        <f t="shared" si="12"/>
        <v>0.12908166127682927</v>
      </c>
      <c r="AS25" s="147">
        <f t="shared" si="22"/>
        <v>0.24656851636297503</v>
      </c>
      <c r="AT25" s="147">
        <f t="shared" si="13"/>
        <v>-2.9987289861577383E-2</v>
      </c>
      <c r="AU25" s="147">
        <f t="shared" si="32"/>
        <v>0.15104761102902628</v>
      </c>
      <c r="AV25" s="147">
        <f t="shared" si="38"/>
        <v>0.12916036546591686</v>
      </c>
      <c r="AW25" s="147">
        <f t="shared" si="14"/>
        <v>0</v>
      </c>
      <c r="AX25" s="147">
        <f t="shared" ref="AX25:AX28" si="53">+$AX$4</f>
        <v>-0.12582399999999999</v>
      </c>
      <c r="AY25" s="147">
        <f t="shared" si="24"/>
        <v>0</v>
      </c>
      <c r="AZ25" s="147"/>
      <c r="BA25" s="148">
        <f t="shared" si="25"/>
        <v>-1.2345898992966509E-2</v>
      </c>
      <c r="BB25" s="147">
        <f t="shared" si="15"/>
        <v>0.15430527230585556</v>
      </c>
      <c r="BC25" s="147">
        <f t="shared" si="15"/>
        <v>0.37572888182889186</v>
      </c>
      <c r="BD25" s="142"/>
      <c r="BE25" s="147"/>
      <c r="BF25" s="147"/>
      <c r="BG25" s="147"/>
      <c r="BH25" s="142"/>
      <c r="BI25" s="153">
        <f>Resultados_capital!C7</f>
        <v>2.9053941601327162</v>
      </c>
      <c r="BJ25" s="154">
        <f>Resultados_capital!D7</f>
        <v>2.4016906558957576</v>
      </c>
      <c r="BK25" s="154">
        <f>Resultados_capital!E7</f>
        <v>5.6997073675153862</v>
      </c>
      <c r="BL25" s="155"/>
      <c r="BM25" s="128">
        <f t="shared" si="52"/>
        <v>9.8584751426503363</v>
      </c>
      <c r="BN25" s="128">
        <f t="shared" si="52"/>
        <v>8.915169014241707</v>
      </c>
      <c r="BO25" s="128">
        <f t="shared" si="52"/>
        <v>8.0627161636509008</v>
      </c>
      <c r="BP25" s="151">
        <f t="shared" si="20"/>
        <v>19119.712361742942</v>
      </c>
      <c r="BQ25" s="151">
        <f t="shared" si="20"/>
        <v>7444.040171502279</v>
      </c>
      <c r="BR25" s="151">
        <f t="shared" si="20"/>
        <v>3173.8992669783829</v>
      </c>
      <c r="BS25" s="151">
        <f t="shared" si="40"/>
        <v>29737.651800223604</v>
      </c>
      <c r="BT25" s="142"/>
      <c r="BU25" s="151">
        <v>8898.1809606739607</v>
      </c>
      <c r="BV25" s="151">
        <v>8898.1809606739607</v>
      </c>
      <c r="BW25" s="151">
        <v>8898.1809606739607</v>
      </c>
      <c r="BX25" s="142"/>
      <c r="BY25" s="151">
        <f>BM25-BU25</f>
        <v>-8888.322485531311</v>
      </c>
      <c r="BZ25" s="151">
        <f>BM25+BU25</f>
        <v>8908.0394358166104</v>
      </c>
      <c r="CA25" s="142"/>
      <c r="CB25" s="151">
        <f>BP25-BX25</f>
        <v>19119.712361742942</v>
      </c>
      <c r="CC25" s="151">
        <f>BP25+BX25</f>
        <v>19119.712361742942</v>
      </c>
      <c r="CD25" s="142"/>
      <c r="CE25" s="151">
        <f>BT25-CA25</f>
        <v>0</v>
      </c>
      <c r="CF25" s="151">
        <f>BT25+CA25</f>
        <v>0</v>
      </c>
      <c r="CG25" s="142"/>
      <c r="CH25" s="150">
        <f>+Resultados_capital!F7</f>
        <v>21</v>
      </c>
      <c r="CI25" s="150">
        <f>+Resultados_capital!G7</f>
        <v>21.000000943601862</v>
      </c>
      <c r="CJ25" s="150">
        <f>+Resultados_capital!H7</f>
        <v>20.999995739804284</v>
      </c>
      <c r="CK25" s="150">
        <f t="shared" si="35"/>
        <v>20.999999781515303</v>
      </c>
      <c r="CL25" s="142"/>
      <c r="CM25" s="151">
        <f t="shared" si="7"/>
        <v>4015.1395959660176</v>
      </c>
      <c r="CN25" s="151">
        <f t="shared" si="29"/>
        <v>1563.2485062575804</v>
      </c>
      <c r="CO25" s="151">
        <f t="shared" si="36"/>
        <v>666.51871085113976</v>
      </c>
      <c r="CP25" s="151"/>
      <c r="CQ25" s="151">
        <f t="shared" si="44"/>
        <v>-1866.5477219615755</v>
      </c>
      <c r="CR25" s="151">
        <f t="shared" si="45"/>
        <v>1870.6882815214881</v>
      </c>
      <c r="CS25" s="151"/>
      <c r="CT25" s="151">
        <f t="shared" si="46"/>
        <v>4015.1397763799796</v>
      </c>
      <c r="CU25" s="151">
        <f t="shared" si="47"/>
        <v>4015.1397763799796</v>
      </c>
      <c r="CV25" s="151"/>
      <c r="CW25" s="151">
        <f t="shared" si="48"/>
        <v>0</v>
      </c>
      <c r="CX25" s="151">
        <f t="shared" si="49"/>
        <v>0</v>
      </c>
      <c r="CY25" s="151"/>
      <c r="CZ25" s="151">
        <f t="shared" si="37"/>
        <v>6244.9068130747382</v>
      </c>
      <c r="DA25" s="151">
        <f t="shared" si="50"/>
        <v>2148.5920544184041</v>
      </c>
      <c r="DB25" s="151">
        <f t="shared" si="50"/>
        <v>5885.8280579014681</v>
      </c>
      <c r="DC25" s="142"/>
      <c r="DD25" s="152">
        <f t="shared" si="41"/>
        <v>6.5230235496238285</v>
      </c>
      <c r="DE25" s="152">
        <f t="shared" si="42"/>
        <v>-4.8320995305195646E-7</v>
      </c>
      <c r="DF25" s="152">
        <f t="shared" si="43"/>
        <v>6.5230230348939742</v>
      </c>
    </row>
    <row r="26" spans="1:110" s="105" customFormat="1" x14ac:dyDescent="0.15">
      <c r="A26" s="104">
        <f>A25+1</f>
        <v>2016</v>
      </c>
      <c r="B26" s="142"/>
      <c r="C26" s="142"/>
      <c r="D26" s="142"/>
      <c r="E26" s="142"/>
      <c r="F26" s="142"/>
      <c r="G26" s="142"/>
      <c r="H26" s="143"/>
      <c r="I26" s="151"/>
      <c r="J26" s="113">
        <f>+BP26</f>
        <v>18811.004933604556</v>
      </c>
      <c r="K26" s="113"/>
      <c r="L26" s="113">
        <f>+BQ26</f>
        <v>7842.4091776770083</v>
      </c>
      <c r="M26" s="113"/>
      <c r="N26" s="113">
        <f t="shared" si="51"/>
        <v>3354.2400311324977</v>
      </c>
      <c r="O26" s="144"/>
      <c r="P26" s="142"/>
      <c r="Q26" s="142"/>
      <c r="R26" s="142"/>
      <c r="S26" s="142"/>
      <c r="T26" s="142"/>
      <c r="U26" s="142"/>
      <c r="V26" s="144"/>
      <c r="W26" s="146">
        <f>W25*(1+BJ26/100)</f>
        <v>105.62670466299078</v>
      </c>
      <c r="X26" s="146">
        <f>X25*(1+BI26/100)</f>
        <v>56339.20610755973</v>
      </c>
      <c r="Y26" s="146">
        <f>Y25*(1+BK26/100)</f>
        <v>11572.261952948584</v>
      </c>
      <c r="Z26" s="142"/>
      <c r="AA26" s="147">
        <f t="shared" ref="AA26:AC28" si="54">LN(W26)</f>
        <v>4.6599112243683232</v>
      </c>
      <c r="AB26" s="147">
        <f t="shared" si="54"/>
        <v>10.939145950233456</v>
      </c>
      <c r="AC26" s="147">
        <f t="shared" si="54"/>
        <v>9.3563663026310877</v>
      </c>
      <c r="AD26" s="142"/>
      <c r="AE26" s="147"/>
      <c r="AF26" s="147"/>
      <c r="AG26" s="147"/>
      <c r="AH26" s="147"/>
      <c r="AI26" s="147">
        <f>BM26-$AE$4-$AB$4*AB26</f>
        <v>2.0770932300123945E-2</v>
      </c>
      <c r="AJ26" s="147">
        <f t="shared" si="27"/>
        <v>-4.9491765276900246E-2</v>
      </c>
      <c r="AK26" s="147">
        <f t="shared" si="31"/>
        <v>5.9641612720810144E-2</v>
      </c>
      <c r="AL26" s="147"/>
      <c r="AM26" s="147">
        <f t="shared" si="8"/>
        <v>-1.089666857890137E-2</v>
      </c>
      <c r="AN26" s="147">
        <f t="shared" si="9"/>
        <v>2.2223606522372208E-2</v>
      </c>
      <c r="AO26" s="147">
        <f t="shared" si="10"/>
        <v>4.138574092791103E-2</v>
      </c>
      <c r="AP26" s="147"/>
      <c r="AQ26" s="147">
        <f t="shared" si="11"/>
        <v>-6.7120536345516135E-3</v>
      </c>
      <c r="AR26" s="147">
        <f t="shared" si="12"/>
        <v>0.12087201796174324</v>
      </c>
      <c r="AS26" s="147">
        <f t="shared" si="22"/>
        <v>7.3215058511899619E-2</v>
      </c>
      <c r="AT26" s="147">
        <f t="shared" si="13"/>
        <v>-9.5657426504812959E-3</v>
      </c>
      <c r="AU26" s="147">
        <f t="shared" si="32"/>
        <v>5.7084327007204526E-2</v>
      </c>
      <c r="AV26" s="147">
        <f t="shared" si="38"/>
        <v>-1.7950716707518428E-2</v>
      </c>
      <c r="AW26" s="147">
        <f t="shared" si="14"/>
        <v>0</v>
      </c>
      <c r="AX26" s="147">
        <f t="shared" si="53"/>
        <v>-0.12582399999999999</v>
      </c>
      <c r="AY26" s="147">
        <f t="shared" si="24"/>
        <v>0</v>
      </c>
      <c r="AZ26" s="147"/>
      <c r="BA26" s="148">
        <f t="shared" si="25"/>
        <v>-1.6277796285032911E-2</v>
      </c>
      <c r="BB26" s="147">
        <f t="shared" si="15"/>
        <v>5.213234496894778E-2</v>
      </c>
      <c r="BC26" s="147">
        <f t="shared" si="15"/>
        <v>5.5264341804381195E-2</v>
      </c>
      <c r="BD26" s="142"/>
      <c r="BE26" s="147"/>
      <c r="BF26" s="147"/>
      <c r="BG26" s="147"/>
      <c r="BH26" s="142"/>
      <c r="BI26" s="153">
        <f>Resultados_capital!C8</f>
        <v>-1.0837514940003412</v>
      </c>
      <c r="BJ26" s="153">
        <f>Resultados_capital!D8</f>
        <v>2.247239040603719</v>
      </c>
      <c r="BK26" s="153">
        <f>Resultados_capital!E8</f>
        <v>4.2254068065132087</v>
      </c>
      <c r="BL26" s="142"/>
      <c r="BM26" s="128">
        <f t="shared" si="52"/>
        <v>9.8421973463653032</v>
      </c>
      <c r="BN26" s="128">
        <f t="shared" si="52"/>
        <v>8.967301359210655</v>
      </c>
      <c r="BO26" s="128">
        <f t="shared" si="52"/>
        <v>8.1179805054552823</v>
      </c>
      <c r="BP26" s="151">
        <f t="shared" si="20"/>
        <v>18811.004933604556</v>
      </c>
      <c r="BQ26" s="151">
        <f t="shared" si="20"/>
        <v>7842.4091776770083</v>
      </c>
      <c r="BR26" s="151">
        <f t="shared" si="20"/>
        <v>3354.2400311324977</v>
      </c>
      <c r="BS26" s="151">
        <f t="shared" si="40"/>
        <v>30007.65414241406</v>
      </c>
      <c r="BT26" s="142"/>
      <c r="BU26" s="151">
        <v>7741.7766943010802</v>
      </c>
      <c r="BV26" s="151">
        <v>7741.7766943010802</v>
      </c>
      <c r="BW26" s="151">
        <v>7741.7766943010802</v>
      </c>
      <c r="BX26" s="142"/>
      <c r="BY26" s="151">
        <f>BM26-BU26</f>
        <v>-7731.9344969547146</v>
      </c>
      <c r="BZ26" s="151">
        <f>BM26+BU26</f>
        <v>7751.6188916474457</v>
      </c>
      <c r="CA26" s="142"/>
      <c r="CB26" s="151">
        <f>BP26-BX26</f>
        <v>18811.004933604556</v>
      </c>
      <c r="CC26" s="151">
        <f>BP26+BX26</f>
        <v>18811.004933604556</v>
      </c>
      <c r="CD26" s="142"/>
      <c r="CE26" s="151">
        <f>BT26-CA26</f>
        <v>0</v>
      </c>
      <c r="CF26" s="151">
        <f>BT26+CA26</f>
        <v>0</v>
      </c>
      <c r="CG26" s="142"/>
      <c r="CH26" s="150">
        <f>+Resultados_capital!F8</f>
        <v>21</v>
      </c>
      <c r="CI26" s="150">
        <f>+Resultados_capital!G8</f>
        <v>21.000000943601862</v>
      </c>
      <c r="CJ26" s="150">
        <f>+Resultados_capital!H8</f>
        <v>20.999995739804284</v>
      </c>
      <c r="CK26" s="150">
        <f t="shared" si="35"/>
        <v>20.999999770405012</v>
      </c>
      <c r="CL26" s="142"/>
      <c r="CM26" s="151">
        <f t="shared" si="7"/>
        <v>3950.3110360569567</v>
      </c>
      <c r="CN26" s="151">
        <f t="shared" si="29"/>
        <v>1646.9060013132905</v>
      </c>
      <c r="CO26" s="151">
        <f t="shared" si="36"/>
        <v>704.39026364063432</v>
      </c>
      <c r="CP26" s="151"/>
      <c r="CQ26" s="151">
        <f t="shared" si="44"/>
        <v>-1623.70624436049</v>
      </c>
      <c r="CR26" s="151">
        <f t="shared" si="45"/>
        <v>1627.8399672459636</v>
      </c>
      <c r="CS26" s="151"/>
      <c r="CT26" s="151">
        <f t="shared" si="46"/>
        <v>3950.3112135579495</v>
      </c>
      <c r="CU26" s="151">
        <f t="shared" si="47"/>
        <v>3950.3112135579495</v>
      </c>
      <c r="CV26" s="151"/>
      <c r="CW26" s="151">
        <f t="shared" si="48"/>
        <v>0</v>
      </c>
      <c r="CX26" s="151">
        <f t="shared" si="49"/>
        <v>0</v>
      </c>
      <c r="CY26" s="151"/>
      <c r="CZ26" s="151">
        <f t="shared" si="37"/>
        <v>6301.6073010108821</v>
      </c>
      <c r="DA26" s="151">
        <f t="shared" si="50"/>
        <v>2326.6049691974595</v>
      </c>
      <c r="DB26" s="151">
        <f t="shared" si="50"/>
        <v>5578.1511808039131</v>
      </c>
      <c r="DC26" s="142"/>
      <c r="DD26" s="152">
        <f t="shared" si="41"/>
        <v>0.90794775594361166</v>
      </c>
      <c r="DE26" s="152">
        <f t="shared" si="42"/>
        <v>-5.2906149853240973E-8</v>
      </c>
      <c r="DF26" s="152">
        <f t="shared" si="43"/>
        <v>0.90794770255709956</v>
      </c>
    </row>
    <row r="27" spans="1:110" s="105" customFormat="1" x14ac:dyDescent="0.15">
      <c r="A27" s="104">
        <f t="shared" si="21"/>
        <v>2017</v>
      </c>
      <c r="B27" s="142"/>
      <c r="C27" s="142"/>
      <c r="D27" s="142"/>
      <c r="E27" s="142"/>
      <c r="F27" s="142"/>
      <c r="G27" s="142"/>
      <c r="H27" s="143"/>
      <c r="I27" s="151"/>
      <c r="J27" s="113">
        <f>+BP27</f>
        <v>18600.661252490783</v>
      </c>
      <c r="K27" s="113"/>
      <c r="L27" s="113">
        <f>+BQ27</f>
        <v>8008.1786268142605</v>
      </c>
      <c r="M27" s="113"/>
      <c r="N27" s="113">
        <f t="shared" si="51"/>
        <v>3449.1818338815788</v>
      </c>
      <c r="O27" s="144"/>
      <c r="P27" s="142"/>
      <c r="Q27" s="142"/>
      <c r="R27" s="142"/>
      <c r="S27" s="142"/>
      <c r="T27" s="142"/>
      <c r="U27" s="142"/>
      <c r="V27" s="144"/>
      <c r="W27" s="146">
        <f>W26*(1+BJ27/100)</f>
        <v>107.80578393580059</v>
      </c>
      <c r="X27" s="146">
        <f>X26*(1+BI27/100)</f>
        <v>56100.122192834096</v>
      </c>
      <c r="Y27" s="146">
        <f>Y26*(1+BK27/100)</f>
        <v>11886.898986723963</v>
      </c>
      <c r="Z27" s="142"/>
      <c r="AA27" s="147">
        <f t="shared" si="54"/>
        <v>4.6803313113565252</v>
      </c>
      <c r="AB27" s="147">
        <f t="shared" si="54"/>
        <v>10.9348932696338</v>
      </c>
      <c r="AC27" s="147">
        <f t="shared" si="54"/>
        <v>9.3831921471506217</v>
      </c>
      <c r="AD27" s="142"/>
      <c r="AE27" s="147"/>
      <c r="AF27" s="147"/>
      <c r="AG27" s="147"/>
      <c r="AH27" s="147"/>
      <c r="AI27" s="147">
        <f>BM27-$AE$4-$AB$4*AB27</f>
        <v>1.4995032770816152E-2</v>
      </c>
      <c r="AJ27" s="147">
        <f t="shared" si="27"/>
        <v>-4.9192373646308241E-2</v>
      </c>
      <c r="AK27" s="147">
        <f t="shared" si="31"/>
        <v>6.444919810932781E-2</v>
      </c>
      <c r="AL27" s="147"/>
      <c r="AM27" s="147">
        <f t="shared" si="8"/>
        <v>-4.2526805996558892E-3</v>
      </c>
      <c r="AN27" s="147">
        <f t="shared" si="9"/>
        <v>2.042008698820208E-2</v>
      </c>
      <c r="AO27" s="147">
        <f t="shared" si="10"/>
        <v>2.6825844519533959E-2</v>
      </c>
      <c r="AP27" s="147"/>
      <c r="AQ27" s="147">
        <f t="shared" si="11"/>
        <v>-2.6195364270118369E-3</v>
      </c>
      <c r="AR27" s="147">
        <f t="shared" si="12"/>
        <v>0.11106285196030626</v>
      </c>
      <c r="AS27" s="147">
        <f t="shared" si="22"/>
        <v>5.4662700474994171E-2</v>
      </c>
      <c r="AT27" s="147">
        <f t="shared" si="13"/>
        <v>-8.6253996597463693E-3</v>
      </c>
      <c r="AU27" s="147">
        <f t="shared" si="32"/>
        <v>3.5678415621056281E-2</v>
      </c>
      <c r="AV27" s="147">
        <f t="shared" si="38"/>
        <v>-2.6750873628826811E-2</v>
      </c>
      <c r="AW27" s="147">
        <f t="shared" si="14"/>
        <v>0</v>
      </c>
      <c r="AX27" s="147">
        <f t="shared" si="53"/>
        <v>-0.12582399999999999</v>
      </c>
      <c r="AY27" s="147">
        <f t="shared" si="24"/>
        <v>0</v>
      </c>
      <c r="AZ27" s="147"/>
      <c r="BA27" s="148">
        <f t="shared" si="25"/>
        <v>-1.1244936086758205E-2</v>
      </c>
      <c r="BB27" s="147">
        <f t="shared" si="15"/>
        <v>2.0917267581362531E-2</v>
      </c>
      <c r="BC27" s="147">
        <f t="shared" si="15"/>
        <v>2.7911826846167359E-2</v>
      </c>
      <c r="BD27" s="142"/>
      <c r="BE27" s="147"/>
      <c r="BF27" s="147"/>
      <c r="BG27" s="147"/>
      <c r="BH27" s="142"/>
      <c r="BI27" s="153">
        <f>Resultados_capital!C9</f>
        <v>-0.4243650758393544</v>
      </c>
      <c r="BJ27" s="153">
        <f>Resultados_capital!D9</f>
        <v>2.0630003366689573</v>
      </c>
      <c r="BK27" s="153">
        <f>Resultados_capital!E9</f>
        <v>2.7188896609379904</v>
      </c>
      <c r="BL27" s="155"/>
      <c r="BM27" s="128">
        <f t="shared" si="52"/>
        <v>9.8309524102785453</v>
      </c>
      <c r="BN27" s="128">
        <f t="shared" si="52"/>
        <v>8.9882186267920172</v>
      </c>
      <c r="BO27" s="128">
        <f t="shared" si="52"/>
        <v>8.1458923323014503</v>
      </c>
      <c r="BP27" s="151">
        <f t="shared" si="20"/>
        <v>18600.661252490783</v>
      </c>
      <c r="BQ27" s="151">
        <f t="shared" si="20"/>
        <v>8008.1786268142605</v>
      </c>
      <c r="BR27" s="151">
        <f t="shared" si="20"/>
        <v>3449.1818338815788</v>
      </c>
      <c r="BS27" s="151">
        <f t="shared" si="40"/>
        <v>30058.021713186623</v>
      </c>
      <c r="BT27" s="142"/>
      <c r="BU27" s="151">
        <v>8898.1809606739607</v>
      </c>
      <c r="BV27" s="151">
        <v>8898.1809606739607</v>
      </c>
      <c r="BW27" s="151">
        <v>8898.1809606739607</v>
      </c>
      <c r="BX27" s="142"/>
      <c r="BY27" s="151">
        <f>BM27-BU27</f>
        <v>-8888.350008263682</v>
      </c>
      <c r="BZ27" s="151">
        <f>BM27+BU27</f>
        <v>8908.0119130842395</v>
      </c>
      <c r="CA27" s="142"/>
      <c r="CB27" s="151">
        <f>BP27-BX27</f>
        <v>18600.661252490783</v>
      </c>
      <c r="CC27" s="151">
        <f>BP27+BX27</f>
        <v>18600.661252490783</v>
      </c>
      <c r="CD27" s="142"/>
      <c r="CE27" s="151">
        <f>BT27-CA27</f>
        <v>0</v>
      </c>
      <c r="CF27" s="151">
        <f>BT27+CA27</f>
        <v>0</v>
      </c>
      <c r="CG27" s="142"/>
      <c r="CH27" s="150">
        <f>+Resultados_capital!F9</f>
        <v>21</v>
      </c>
      <c r="CI27" s="150">
        <f>+Resultados_capital!G9</f>
        <v>21.000000943601862</v>
      </c>
      <c r="CJ27" s="150">
        <f>+Resultados_capital!H9</f>
        <v>20.999995739804284</v>
      </c>
      <c r="CK27" s="150">
        <f t="shared" si="35"/>
        <v>20.999999762537353</v>
      </c>
      <c r="CL27" s="142"/>
      <c r="CM27" s="151">
        <f t="shared" si="7"/>
        <v>3906.1388630230645</v>
      </c>
      <c r="CN27" s="151">
        <f t="shared" si="29"/>
        <v>1681.7175871963173</v>
      </c>
      <c r="CO27" s="151">
        <f t="shared" si="36"/>
        <v>724.32803817323486</v>
      </c>
      <c r="CP27" s="151"/>
      <c r="CQ27" s="151">
        <f t="shared" si="44"/>
        <v>-1866.5535017353732</v>
      </c>
      <c r="CR27" s="151">
        <f t="shared" si="45"/>
        <v>1870.6825017476904</v>
      </c>
      <c r="CS27" s="151"/>
      <c r="CT27" s="151">
        <f t="shared" si="46"/>
        <v>3906.1390385392501</v>
      </c>
      <c r="CU27" s="151">
        <f t="shared" si="47"/>
        <v>3906.1390385392501</v>
      </c>
      <c r="CV27" s="151"/>
      <c r="CW27" s="151">
        <f t="shared" si="48"/>
        <v>0</v>
      </c>
      <c r="CX27" s="151">
        <f t="shared" si="49"/>
        <v>0</v>
      </c>
      <c r="CY27" s="151"/>
      <c r="CZ27" s="151">
        <f t="shared" si="37"/>
        <v>6312.1844883926169</v>
      </c>
      <c r="DA27" s="151">
        <f t="shared" si="50"/>
        <v>2039.5855368038769</v>
      </c>
      <c r="DB27" s="151">
        <f t="shared" si="50"/>
        <v>5776.8215402869409</v>
      </c>
      <c r="DC27" s="142"/>
      <c r="DD27" s="152">
        <f t="shared" si="41"/>
        <v>0.16784907788367145</v>
      </c>
      <c r="DE27" s="152">
        <f t="shared" si="42"/>
        <v>-3.746504100329441E-8</v>
      </c>
      <c r="DF27" s="152">
        <f t="shared" si="43"/>
        <v>0.16784904035575252</v>
      </c>
    </row>
    <row r="28" spans="1:110" s="105" customFormat="1" ht="11.25" thickBot="1" x14ac:dyDescent="0.2">
      <c r="A28" s="104">
        <f>A27+1</f>
        <v>2018</v>
      </c>
      <c r="B28" s="142"/>
      <c r="C28" s="142"/>
      <c r="D28" s="142"/>
      <c r="E28" s="142"/>
      <c r="F28" s="142"/>
      <c r="G28" s="142"/>
      <c r="H28" s="143"/>
      <c r="I28" s="151"/>
      <c r="J28" s="113">
        <f>+BP28</f>
        <v>18512.179315826506</v>
      </c>
      <c r="K28" s="113"/>
      <c r="L28" s="113">
        <f>+BQ28</f>
        <v>8085.1439739452017</v>
      </c>
      <c r="M28" s="113"/>
      <c r="N28" s="113">
        <f t="shared" si="51"/>
        <v>3471.7600748297582</v>
      </c>
      <c r="O28" s="144"/>
      <c r="P28" s="142"/>
      <c r="Q28" s="142"/>
      <c r="R28" s="142"/>
      <c r="S28" s="142"/>
      <c r="T28" s="142"/>
      <c r="U28" s="142"/>
      <c r="V28" s="144"/>
      <c r="W28" s="146">
        <f>W27*(1+BJ28/100)</f>
        <v>109.80475532801236</v>
      </c>
      <c r="X28" s="146">
        <f>X27*(1+BI28/100)</f>
        <v>56233.123216238077</v>
      </c>
      <c r="Y28" s="146">
        <f>Y27*(1+BK28/100)</f>
        <v>11972.819173573505</v>
      </c>
      <c r="Z28" s="142"/>
      <c r="AA28" s="147">
        <f t="shared" si="54"/>
        <v>4.6987038371359136</v>
      </c>
      <c r="AB28" s="147">
        <f t="shared" si="54"/>
        <v>10.937261243336824</v>
      </c>
      <c r="AC28" s="147">
        <f t="shared" si="54"/>
        <v>9.3903942907525071</v>
      </c>
      <c r="AD28" s="142"/>
      <c r="AE28" s="147"/>
      <c r="AF28" s="147"/>
      <c r="AG28" s="147"/>
      <c r="AH28" s="147"/>
      <c r="AI28" s="147">
        <f>BM28-$AE$4-$AB$4*AB28</f>
        <v>7.181494433543989E-3</v>
      </c>
      <c r="AJ28" s="147">
        <f t="shared" si="27"/>
        <v>-5.8177903111699791E-2</v>
      </c>
      <c r="AK28" s="147">
        <f t="shared" si="31"/>
        <v>6.4770860513084116E-2</v>
      </c>
      <c r="AL28" s="147"/>
      <c r="AM28" s="147">
        <f t="shared" si="8"/>
        <v>2.3679737030235515E-3</v>
      </c>
      <c r="AN28" s="147">
        <f t="shared" si="9"/>
        <v>1.8372525779388305E-2</v>
      </c>
      <c r="AO28" s="147">
        <f t="shared" si="10"/>
        <v>7.2021436018854246E-3</v>
      </c>
      <c r="AP28" s="147"/>
      <c r="AQ28" s="147">
        <f t="shared" si="11"/>
        <v>1.4586078657725262E-3</v>
      </c>
      <c r="AR28" s="147">
        <f t="shared" si="12"/>
        <v>9.9926367206566599E-2</v>
      </c>
      <c r="AS28" s="147">
        <f t="shared" si="22"/>
        <v>3.5431843699845651E-2</v>
      </c>
      <c r="AT28" s="147">
        <f t="shared" si="13"/>
        <v>-6.226882293507428E-3</v>
      </c>
      <c r="AU28" s="147">
        <f t="shared" si="32"/>
        <v>3.5462585392129022E-2</v>
      </c>
      <c r="AV28" s="147">
        <f t="shared" si="38"/>
        <v>-2.8907205480382475E-2</v>
      </c>
      <c r="AW28" s="147">
        <f t="shared" si="14"/>
        <v>0</v>
      </c>
      <c r="AX28" s="147">
        <f t="shared" si="53"/>
        <v>-0.12582399999999999</v>
      </c>
      <c r="AY28" s="147">
        <f t="shared" si="24"/>
        <v>0</v>
      </c>
      <c r="AZ28" s="147"/>
      <c r="BA28" s="148">
        <f t="shared" si="25"/>
        <v>-4.7682744277349016E-3</v>
      </c>
      <c r="BB28" s="147">
        <f t="shared" si="15"/>
        <v>9.5649525986956363E-3</v>
      </c>
      <c r="BC28" s="147">
        <f t="shared" si="15"/>
        <v>6.5246382194631761E-3</v>
      </c>
      <c r="BD28" s="142"/>
      <c r="BE28" s="147"/>
      <c r="BF28" s="147"/>
      <c r="BG28" s="147"/>
      <c r="BH28" s="142"/>
      <c r="BI28" s="156">
        <f>Resultados_capital!C10</f>
        <v>0.23707795670536469</v>
      </c>
      <c r="BJ28" s="156">
        <f>Resultados_capital!D10</f>
        <v>1.854233900290714</v>
      </c>
      <c r="BK28" s="156">
        <f>Resultados_capital!E10</f>
        <v>0.72281414139636457</v>
      </c>
      <c r="BL28" s="142"/>
      <c r="BM28" s="128">
        <f t="shared" si="52"/>
        <v>9.8261841358508111</v>
      </c>
      <c r="BN28" s="128">
        <f t="shared" si="52"/>
        <v>8.9977835793907133</v>
      </c>
      <c r="BO28" s="128">
        <f t="shared" si="52"/>
        <v>8.152416970520914</v>
      </c>
      <c r="BP28" s="151">
        <f t="shared" si="20"/>
        <v>18512.179315826506</v>
      </c>
      <c r="BQ28" s="151">
        <f t="shared" si="20"/>
        <v>8085.1439739452017</v>
      </c>
      <c r="BR28" s="151">
        <f t="shared" si="20"/>
        <v>3471.7600748297582</v>
      </c>
      <c r="BS28" s="151">
        <f t="shared" si="40"/>
        <v>30069.083364601469</v>
      </c>
      <c r="BT28" s="142"/>
      <c r="BU28" s="151">
        <v>7741.7766943010802</v>
      </c>
      <c r="BV28" s="151">
        <v>7741.7766943010802</v>
      </c>
      <c r="BW28" s="151">
        <v>7741.7766943010802</v>
      </c>
      <c r="BX28" s="142"/>
      <c r="BY28" s="151">
        <f>BM28-BU28</f>
        <v>-7731.9505101652294</v>
      </c>
      <c r="BZ28" s="151">
        <f>BM28+BU28</f>
        <v>7751.602878436931</v>
      </c>
      <c r="CA28" s="142"/>
      <c r="CB28" s="151">
        <f>BP28-BX28</f>
        <v>18512.179315826506</v>
      </c>
      <c r="CC28" s="151">
        <f>BP28+BX28</f>
        <v>18512.179315826506</v>
      </c>
      <c r="CD28" s="142"/>
      <c r="CE28" s="151">
        <f>BT28-CA28</f>
        <v>0</v>
      </c>
      <c r="CF28" s="151">
        <f>BT28+CA28</f>
        <v>0</v>
      </c>
      <c r="CG28" s="142"/>
      <c r="CH28" s="150">
        <f>+Resultados_capital!F10</f>
        <v>21</v>
      </c>
      <c r="CI28" s="150">
        <f>+Resultados_capital!G10</f>
        <v>21.000000943601862</v>
      </c>
      <c r="CJ28" s="150">
        <f>+Resultados_capital!H10</f>
        <v>20.999995739804284</v>
      </c>
      <c r="CK28" s="150">
        <f t="shared" si="35"/>
        <v>20.999999761841075</v>
      </c>
      <c r="CL28" s="142"/>
      <c r="CM28" s="151">
        <f t="shared" si="7"/>
        <v>3887.5576563235663</v>
      </c>
      <c r="CN28" s="151">
        <f t="shared" si="29"/>
        <v>1697.8803108200614</v>
      </c>
      <c r="CO28" s="151">
        <f t="shared" si="36"/>
        <v>729.0694678104752</v>
      </c>
      <c r="CP28" s="151"/>
      <c r="CQ28" s="151">
        <f t="shared" si="44"/>
        <v>-1623.7096071346982</v>
      </c>
      <c r="CR28" s="151">
        <f t="shared" si="45"/>
        <v>1627.8366044717557</v>
      </c>
      <c r="CS28" s="151"/>
      <c r="CT28" s="151">
        <f t="shared" si="46"/>
        <v>3887.557831004835</v>
      </c>
      <c r="CU28" s="151">
        <f t="shared" si="47"/>
        <v>3887.557831004835</v>
      </c>
      <c r="CV28" s="151"/>
      <c r="CW28" s="151">
        <f t="shared" si="48"/>
        <v>0</v>
      </c>
      <c r="CX28" s="151">
        <f t="shared" si="49"/>
        <v>0</v>
      </c>
      <c r="CY28" s="151"/>
      <c r="CZ28" s="151">
        <f t="shared" si="37"/>
        <v>6314.5074349541028</v>
      </c>
      <c r="DA28" s="151">
        <f t="shared" si="50"/>
        <v>2263.8482238701367</v>
      </c>
      <c r="DB28" s="151">
        <f t="shared" si="50"/>
        <v>5515.3944354765908</v>
      </c>
      <c r="DC28" s="142"/>
      <c r="DD28" s="152">
        <f t="shared" si="41"/>
        <v>3.6800996154690964E-2</v>
      </c>
      <c r="DE28" s="152">
        <f t="shared" si="42"/>
        <v>-3.3156123724431291E-9</v>
      </c>
      <c r="DF28" s="152">
        <f t="shared" si="43"/>
        <v>3.6800992837860022E-2</v>
      </c>
    </row>
    <row r="29" spans="1:110" x14ac:dyDescent="0.15">
      <c r="CE29" s="23"/>
      <c r="DA29" s="24"/>
      <c r="DB29" s="24"/>
    </row>
    <row r="30" spans="1:110" x14ac:dyDescent="0.15">
      <c r="DA30" s="24"/>
      <c r="DB30" s="24"/>
    </row>
    <row r="31" spans="1:110" x14ac:dyDescent="0.15">
      <c r="AC31" s="24"/>
      <c r="AO31" s="24"/>
      <c r="AS31" s="24"/>
    </row>
    <row r="32" spans="1:110" x14ac:dyDescent="0.15">
      <c r="AC32" s="24"/>
      <c r="AO32" s="24"/>
      <c r="AS32" s="24"/>
    </row>
    <row r="33" spans="29:45" x14ac:dyDescent="0.15">
      <c r="AC33" s="24"/>
      <c r="AO33" s="21"/>
      <c r="AS33" s="21"/>
    </row>
    <row r="34" spans="29:45" x14ac:dyDescent="0.15">
      <c r="AC34" s="24"/>
      <c r="AO34" s="21"/>
      <c r="AS34" s="21"/>
    </row>
    <row r="35" spans="29:45" x14ac:dyDescent="0.15">
      <c r="AC35" s="24"/>
      <c r="AO35" s="24"/>
      <c r="AS35" s="24"/>
    </row>
    <row r="36" spans="29:45" x14ac:dyDescent="0.15">
      <c r="AC36" s="24"/>
      <c r="AO36" s="24"/>
      <c r="AS36" s="24"/>
    </row>
    <row r="37" spans="29:45" x14ac:dyDescent="0.15">
      <c r="AC37" s="24"/>
      <c r="AO37" s="24"/>
      <c r="AS37" s="24"/>
    </row>
    <row r="38" spans="29:45" x14ac:dyDescent="0.15">
      <c r="AC38" s="24"/>
      <c r="AO38" s="24"/>
      <c r="AS38" s="24"/>
    </row>
    <row r="39" spans="29:45" x14ac:dyDescent="0.15">
      <c r="AC39" s="24"/>
      <c r="AO39" s="24"/>
      <c r="AS39" s="24"/>
    </row>
    <row r="41" spans="29:45" x14ac:dyDescent="0.15">
      <c r="AC41" s="25"/>
      <c r="AO41" s="25"/>
      <c r="AS41" s="25"/>
    </row>
    <row r="42" spans="29:45" x14ac:dyDescent="0.15">
      <c r="AC42" s="25"/>
      <c r="AO42" s="25"/>
      <c r="AS42" s="25"/>
    </row>
    <row r="60" spans="61:63" x14ac:dyDescent="0.15">
      <c r="BI60" s="16"/>
      <c r="BJ60" s="16"/>
      <c r="BK60" s="16"/>
    </row>
    <row r="61" spans="61:63" x14ac:dyDescent="0.15">
      <c r="BI61" s="16"/>
      <c r="BJ61" s="16"/>
      <c r="BK61" s="16"/>
    </row>
  </sheetData>
  <sheetProtection algorithmName="SHA-512" hashValue="H3yq/u0GBbA3z9nxuMKMi2QnUNNkHLYhCCrS5b7o4VU/tdAnRUM8LmnOK08slzk4GRx6PJ/SHPsguB90J+mZgg==" saltValue="3IwygwVouIPDEyA+BwcTZg==" spinCount="100000" sheet="1" objects="1" scenarios="1"/>
  <mergeCells count="18">
    <mergeCell ref="B2:C2"/>
    <mergeCell ref="D2:E2"/>
    <mergeCell ref="F2:G2"/>
    <mergeCell ref="B1:G1"/>
    <mergeCell ref="I1:N1"/>
    <mergeCell ref="AI1:AK1"/>
    <mergeCell ref="AM1:AO1"/>
    <mergeCell ref="AQ1:AY1"/>
    <mergeCell ref="BA1:BC1"/>
    <mergeCell ref="P1:U1"/>
    <mergeCell ref="W1:Y1"/>
    <mergeCell ref="AA1:AC1"/>
    <mergeCell ref="AE1:AG1"/>
    <mergeCell ref="DD1:DF1"/>
    <mergeCell ref="BM1:CF1"/>
    <mergeCell ref="CH1:CK1"/>
    <mergeCell ref="CM1:DB1"/>
    <mergeCell ref="BE1:BG1"/>
  </mergeCells>
  <hyperlinks>
    <hyperlink ref="A3" location="Indice!A1" display="Volver al índice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Léeme</vt:lpstr>
      <vt:lpstr>Cálculos_IRPF</vt:lpstr>
      <vt:lpstr>Resultados_IRPF</vt:lpstr>
      <vt:lpstr>Resultados_trabajo</vt:lpstr>
      <vt:lpstr>Resultados_capital</vt:lpstr>
      <vt:lpstr>Resultados_actividad_eco</vt:lpstr>
      <vt:lpstr>Cálculos_trabajo</vt:lpstr>
      <vt:lpstr>Cálculos_capital</vt:lpstr>
      <vt:lpstr>Cálculos_actividad_eco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Cuerpo Caballero, Carlos</dc:creator>
  <cp:lastModifiedBy>Losada Muñoz, Raquel</cp:lastModifiedBy>
  <cp:lastPrinted>2015-02-25T11:50:45Z</cp:lastPrinted>
  <dcterms:created xsi:type="dcterms:W3CDTF">2015-02-05T12:57:22Z</dcterms:created>
  <dcterms:modified xsi:type="dcterms:W3CDTF">2015-05-14T07:39:21Z</dcterms:modified>
</cp:coreProperties>
</file>