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ReadMe" sheetId="3" r:id="rId1"/>
    <sheet name="Results" sheetId="1" r:id="rId2"/>
    <sheet name="data" sheetId="2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D37" i="2" l="1"/>
  <c r="AD38" i="2"/>
  <c r="AD39" i="2"/>
  <c r="AD40" i="2"/>
  <c r="AD41" i="2"/>
  <c r="AD42" i="2"/>
  <c r="AD43" i="2"/>
  <c r="AD44" i="2"/>
  <c r="AD45" i="2"/>
  <c r="AD46" i="2"/>
  <c r="AD47" i="2"/>
  <c r="AD48" i="2"/>
  <c r="AD49" i="2"/>
  <c r="AD36" i="2"/>
  <c r="W36" i="2"/>
  <c r="W37" i="2"/>
  <c r="W38" i="2"/>
  <c r="W40" i="2"/>
  <c r="W41" i="2"/>
  <c r="W42" i="2"/>
  <c r="W43" i="2"/>
  <c r="W44" i="2"/>
  <c r="W45" i="2"/>
  <c r="W46" i="2"/>
  <c r="W47" i="2"/>
  <c r="W48" i="2"/>
  <c r="W49" i="2"/>
  <c r="W39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36" i="2"/>
  <c r="R45" i="2" l="1"/>
  <c r="AK43" i="2"/>
  <c r="J53" i="1" s="1"/>
  <c r="AK42" i="2"/>
  <c r="I53" i="1" s="1"/>
  <c r="R42" i="2"/>
  <c r="R43" i="2"/>
  <c r="AK41" i="2"/>
  <c r="H53" i="1" s="1"/>
  <c r="R41" i="2"/>
  <c r="I41" i="2"/>
  <c r="AK40" i="2"/>
  <c r="G53" i="1" s="1"/>
  <c r="R40" i="2"/>
  <c r="C40" i="2"/>
  <c r="C41" i="2" s="1"/>
  <c r="C42" i="2" s="1"/>
  <c r="C43" i="2" s="1"/>
  <c r="C44" i="2" s="1"/>
  <c r="C45" i="2" s="1"/>
  <c r="C46" i="2" s="1"/>
  <c r="C47" i="2" s="1"/>
  <c r="C48" i="2" s="1"/>
  <c r="C49" i="2" s="1"/>
  <c r="AK39" i="2"/>
  <c r="F53" i="1" s="1"/>
  <c r="R39" i="2"/>
  <c r="Y38" i="2"/>
  <c r="P38" i="2"/>
  <c r="L38" i="2"/>
  <c r="H38" i="2"/>
  <c r="D38" i="2"/>
  <c r="Y37" i="2"/>
  <c r="P37" i="2"/>
  <c r="L37" i="2"/>
  <c r="H37" i="2"/>
  <c r="D37" i="2"/>
  <c r="Y36" i="2"/>
  <c r="P36" i="2"/>
  <c r="L36" i="2"/>
  <c r="H36" i="2"/>
  <c r="D36" i="2"/>
  <c r="Y35" i="2"/>
  <c r="P35" i="2"/>
  <c r="L35" i="2"/>
  <c r="H35" i="2"/>
  <c r="D35" i="2"/>
  <c r="Y34" i="2"/>
  <c r="P34" i="2"/>
  <c r="L34" i="2"/>
  <c r="H34" i="2"/>
  <c r="D34" i="2"/>
  <c r="Y33" i="2"/>
  <c r="P33" i="2"/>
  <c r="L33" i="2"/>
  <c r="H33" i="2"/>
  <c r="D33" i="2"/>
  <c r="Y32" i="2"/>
  <c r="P32" i="2"/>
  <c r="L32" i="2"/>
  <c r="H32" i="2"/>
  <c r="D32" i="2"/>
  <c r="Y31" i="2"/>
  <c r="P31" i="2"/>
  <c r="L31" i="2"/>
  <c r="H31" i="2"/>
  <c r="D31" i="2"/>
  <c r="Y30" i="2"/>
  <c r="P30" i="2"/>
  <c r="L30" i="2"/>
  <c r="H30" i="2"/>
  <c r="D30" i="2"/>
  <c r="Y29" i="2"/>
  <c r="P29" i="2"/>
  <c r="L29" i="2"/>
  <c r="H29" i="2"/>
  <c r="D29" i="2"/>
  <c r="Y28" i="2"/>
  <c r="P28" i="2"/>
  <c r="L28" i="2"/>
  <c r="H28" i="2"/>
  <c r="D28" i="2"/>
  <c r="Y27" i="2"/>
  <c r="P27" i="2"/>
  <c r="L27" i="2"/>
  <c r="H27" i="2"/>
  <c r="D27" i="2"/>
  <c r="Y26" i="2"/>
  <c r="P26" i="2"/>
  <c r="L26" i="2"/>
  <c r="H26" i="2"/>
  <c r="D26" i="2"/>
  <c r="Y25" i="2"/>
  <c r="P25" i="2"/>
  <c r="L25" i="2"/>
  <c r="H25" i="2"/>
  <c r="D25" i="2"/>
  <c r="P24" i="2"/>
  <c r="L24" i="2"/>
  <c r="P23" i="2"/>
  <c r="L23" i="2"/>
  <c r="P22" i="2"/>
  <c r="L22" i="2"/>
  <c r="P21" i="2"/>
  <c r="L21" i="2"/>
  <c r="P20" i="2"/>
  <c r="L20" i="2"/>
  <c r="L19" i="2"/>
  <c r="L18" i="2"/>
  <c r="L17" i="2"/>
  <c r="L16" i="2"/>
  <c r="L15" i="2"/>
  <c r="U26" i="2" l="1"/>
  <c r="U30" i="2"/>
  <c r="V30" i="2" s="1"/>
  <c r="AJ30" i="2" s="1"/>
  <c r="U34" i="2"/>
  <c r="U38" i="2"/>
  <c r="V38" i="2" s="1"/>
  <c r="AJ38" i="2" s="1"/>
  <c r="E48" i="1" s="1"/>
  <c r="U28" i="2"/>
  <c r="U32" i="2"/>
  <c r="V32" i="2" s="1"/>
  <c r="AJ32" i="2" s="1"/>
  <c r="U36" i="2"/>
  <c r="V36" i="2" s="1"/>
  <c r="AJ36" i="2" s="1"/>
  <c r="C48" i="1" s="1"/>
  <c r="V28" i="2"/>
  <c r="AJ28" i="2" s="1"/>
  <c r="V26" i="2"/>
  <c r="AJ26" i="2" s="1"/>
  <c r="V34" i="2"/>
  <c r="AJ34" i="2" s="1"/>
  <c r="I26" i="2"/>
  <c r="AA26" i="2"/>
  <c r="U27" i="2"/>
  <c r="V27" i="2" s="1"/>
  <c r="AJ27" i="2" s="1"/>
  <c r="E30" i="2"/>
  <c r="U31" i="2"/>
  <c r="V31" i="2" s="1"/>
  <c r="AJ31" i="2" s="1"/>
  <c r="AG34" i="2"/>
  <c r="U35" i="2"/>
  <c r="V35" i="2" s="1"/>
  <c r="AJ35" i="2" s="1"/>
  <c r="Z38" i="2"/>
  <c r="U25" i="2"/>
  <c r="V25" i="2" s="1"/>
  <c r="M26" i="2"/>
  <c r="U29" i="2"/>
  <c r="V29" i="2" s="1"/>
  <c r="AJ29" i="2" s="1"/>
  <c r="F32" i="2"/>
  <c r="U33" i="2"/>
  <c r="V33" i="2" s="1"/>
  <c r="U37" i="2"/>
  <c r="V37" i="2" s="1"/>
  <c r="AJ37" i="2" s="1"/>
  <c r="D48" i="1" s="1"/>
  <c r="Q31" i="2"/>
  <c r="E27" i="2"/>
  <c r="AA27" i="2"/>
  <c r="M29" i="2"/>
  <c r="M27" i="2"/>
  <c r="F28" i="2"/>
  <c r="F29" i="2"/>
  <c r="AA33" i="2"/>
  <c r="AA28" i="2"/>
  <c r="AG35" i="2"/>
  <c r="F37" i="2"/>
  <c r="AC37" i="2"/>
  <c r="F26" i="2"/>
  <c r="I28" i="2"/>
  <c r="Z35" i="2"/>
  <c r="Q38" i="2"/>
  <c r="AC38" i="2"/>
  <c r="F27" i="2"/>
  <c r="E28" i="2"/>
  <c r="AA29" i="2"/>
  <c r="F30" i="2"/>
  <c r="E26" i="2"/>
  <c r="AA25" i="2"/>
  <c r="I27" i="2"/>
  <c r="Q28" i="2"/>
  <c r="AG29" i="2"/>
  <c r="I32" i="2"/>
  <c r="Z31" i="2"/>
  <c r="Q32" i="2"/>
  <c r="M33" i="2"/>
  <c r="Q35" i="2"/>
  <c r="I36" i="2"/>
  <c r="AC36" i="2"/>
  <c r="E35" i="2"/>
  <c r="Q36" i="2"/>
  <c r="Q26" i="2"/>
  <c r="Z27" i="2"/>
  <c r="I29" i="2"/>
  <c r="AG33" i="2"/>
  <c r="Z34" i="2"/>
  <c r="D39" i="2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M25" i="2"/>
  <c r="AC34" i="2"/>
  <c r="AD34" i="2" s="1"/>
  <c r="AK34" i="2" s="1"/>
  <c r="Z26" i="2"/>
  <c r="Q27" i="2"/>
  <c r="E31" i="2"/>
  <c r="M32" i="2"/>
  <c r="AC32" i="2"/>
  <c r="AD32" i="2" s="1"/>
  <c r="AK32" i="2" s="1"/>
  <c r="AG30" i="2"/>
  <c r="F25" i="2"/>
  <c r="AG26" i="2"/>
  <c r="AG27" i="2"/>
  <c r="Z28" i="2"/>
  <c r="AG28" i="2"/>
  <c r="I30" i="2"/>
  <c r="Q30" i="2"/>
  <c r="I31" i="2"/>
  <c r="E32" i="2"/>
  <c r="F33" i="2"/>
  <c r="Z33" i="2"/>
  <c r="Q34" i="2"/>
  <c r="AG36" i="2"/>
  <c r="C50" i="1" s="1"/>
  <c r="Z36" i="2"/>
  <c r="I37" i="2"/>
  <c r="Z37" i="2"/>
  <c r="Q37" i="2"/>
  <c r="AG37" i="2"/>
  <c r="D50" i="1" s="1"/>
  <c r="AK38" i="2"/>
  <c r="E53" i="1" s="1"/>
  <c r="M38" i="2"/>
  <c r="E45" i="1" s="1"/>
  <c r="R47" i="2"/>
  <c r="Z30" i="2"/>
  <c r="E33" i="2"/>
  <c r="M34" i="2"/>
  <c r="AA35" i="2"/>
  <c r="AC35" i="2"/>
  <c r="AD35" i="2" s="1"/>
  <c r="AK35" i="2" s="1"/>
  <c r="M35" i="2"/>
  <c r="Q25" i="2"/>
  <c r="Z25" i="2"/>
  <c r="AC26" i="2"/>
  <c r="AD26" i="2" s="1"/>
  <c r="AK26" i="2" s="1"/>
  <c r="AC27" i="2"/>
  <c r="AD27" i="2" s="1"/>
  <c r="AK27" i="2" s="1"/>
  <c r="M30" i="2"/>
  <c r="AC30" i="2"/>
  <c r="AD30" i="2" s="1"/>
  <c r="AK30" i="2" s="1"/>
  <c r="AC31" i="2"/>
  <c r="AD31" i="2" s="1"/>
  <c r="AK31" i="2" s="1"/>
  <c r="AA32" i="2"/>
  <c r="AG32" i="2"/>
  <c r="Z32" i="2"/>
  <c r="I33" i="2"/>
  <c r="F35" i="2"/>
  <c r="Q33" i="2"/>
  <c r="E34" i="2"/>
  <c r="F36" i="2"/>
  <c r="F38" i="2"/>
  <c r="AG38" i="2"/>
  <c r="E50" i="1" s="1"/>
  <c r="I38" i="2"/>
  <c r="M28" i="2"/>
  <c r="AC28" i="2"/>
  <c r="AD28" i="2" s="1"/>
  <c r="AK28" i="2" s="1"/>
  <c r="E29" i="2"/>
  <c r="AC29" i="2"/>
  <c r="AD29" i="2" s="1"/>
  <c r="AK29" i="2" s="1"/>
  <c r="Q29" i="2"/>
  <c r="Z29" i="2"/>
  <c r="AA30" i="2"/>
  <c r="F31" i="2"/>
  <c r="M31" i="2"/>
  <c r="AA31" i="2"/>
  <c r="AG31" i="2"/>
  <c r="AC33" i="2"/>
  <c r="AD33" i="2" s="1"/>
  <c r="AK33" i="2" s="1"/>
  <c r="AJ33" i="2"/>
  <c r="I34" i="2"/>
  <c r="F34" i="2"/>
  <c r="M37" i="2"/>
  <c r="D45" i="1" s="1"/>
  <c r="I40" i="2"/>
  <c r="I42" i="2"/>
  <c r="AA34" i="2"/>
  <c r="I35" i="2"/>
  <c r="M36" i="2"/>
  <c r="C45" i="1" s="1"/>
  <c r="AK36" i="2"/>
  <c r="C53" i="1" s="1"/>
  <c r="AK37" i="2"/>
  <c r="D53" i="1" s="1"/>
  <c r="I39" i="2"/>
  <c r="Y39" i="2"/>
  <c r="AK44" i="2"/>
  <c r="K53" i="1" s="1"/>
  <c r="R46" i="2"/>
  <c r="AF27" i="2" l="1"/>
  <c r="G34" i="2"/>
  <c r="AI36" i="2"/>
  <c r="C52" i="1" s="1"/>
  <c r="G27" i="2"/>
  <c r="AI27" i="2" s="1"/>
  <c r="G29" i="2"/>
  <c r="AI29" i="2" s="1"/>
  <c r="G28" i="2"/>
  <c r="AH28" i="2" s="1"/>
  <c r="AF28" i="2"/>
  <c r="AL28" i="2" s="1"/>
  <c r="G33" i="2"/>
  <c r="AH33" i="2" s="1"/>
  <c r="G31" i="2"/>
  <c r="AH31" i="2" s="1"/>
  <c r="G26" i="2"/>
  <c r="AI26" i="2" s="1"/>
  <c r="N27" i="2"/>
  <c r="AF33" i="2"/>
  <c r="N33" i="2"/>
  <c r="G30" i="2"/>
  <c r="AF37" i="2"/>
  <c r="AH39" i="2"/>
  <c r="F51" i="1" s="1"/>
  <c r="G35" i="2"/>
  <c r="AI35" i="2" s="1"/>
  <c r="AF26" i="2"/>
  <c r="N26" i="2"/>
  <c r="AF38" i="2"/>
  <c r="G32" i="2"/>
  <c r="AI32" i="2" s="1"/>
  <c r="N36" i="2"/>
  <c r="C46" i="1" s="1"/>
  <c r="AF31" i="2"/>
  <c r="R44" i="2"/>
  <c r="AF32" i="2"/>
  <c r="N30" i="2"/>
  <c r="R48" i="2"/>
  <c r="AH36" i="2"/>
  <c r="C51" i="1" s="1"/>
  <c r="AK45" i="2"/>
  <c r="L53" i="1" s="1"/>
  <c r="AF34" i="2"/>
  <c r="N32" i="2"/>
  <c r="N31" i="2"/>
  <c r="N28" i="2"/>
  <c r="H39" i="2"/>
  <c r="AC39" i="2" s="1"/>
  <c r="AF35" i="2"/>
  <c r="N38" i="2"/>
  <c r="E46" i="1" s="1"/>
  <c r="AH37" i="2"/>
  <c r="D51" i="1" s="1"/>
  <c r="AF29" i="2"/>
  <c r="N37" i="2"/>
  <c r="D46" i="1" s="1"/>
  <c r="N34" i="2"/>
  <c r="N29" i="2"/>
  <c r="AF39" i="2"/>
  <c r="F49" i="1" s="1"/>
  <c r="AI39" i="2"/>
  <c r="F52" i="1" s="1"/>
  <c r="AF30" i="2"/>
  <c r="F39" i="2"/>
  <c r="F40" i="2" s="1"/>
  <c r="F41" i="2" s="1"/>
  <c r="F42" i="2" s="1"/>
  <c r="F43" i="2" s="1"/>
  <c r="N35" i="2"/>
  <c r="AF36" i="2"/>
  <c r="C49" i="1" s="1"/>
  <c r="AL38" i="2" l="1"/>
  <c r="E49" i="1"/>
  <c r="AL37" i="2"/>
  <c r="D49" i="1"/>
  <c r="AH29" i="2"/>
  <c r="AL33" i="2"/>
  <c r="AI34" i="2"/>
  <c r="AI33" i="2"/>
  <c r="AL27" i="2"/>
  <c r="AH27" i="2"/>
  <c r="AI31" i="2"/>
  <c r="AH34" i="2"/>
  <c r="AH26" i="2"/>
  <c r="AI28" i="2"/>
  <c r="AI30" i="2"/>
  <c r="AH30" i="2"/>
  <c r="AG39" i="2"/>
  <c r="F50" i="1" s="1"/>
  <c r="AL26" i="2"/>
  <c r="AH32" i="2"/>
  <c r="AH35" i="2"/>
  <c r="R49" i="2"/>
  <c r="AL30" i="2"/>
  <c r="AL29" i="2"/>
  <c r="H40" i="2"/>
  <c r="AC40" i="2" s="1"/>
  <c r="AL34" i="2"/>
  <c r="AL32" i="2"/>
  <c r="F44" i="2"/>
  <c r="F45" i="2" s="1"/>
  <c r="F46" i="2" s="1"/>
  <c r="F47" i="2" s="1"/>
  <c r="F48" i="2" s="1"/>
  <c r="F49" i="2" s="1"/>
  <c r="AL35" i="2"/>
  <c r="AK46" i="2"/>
  <c r="M53" i="1" s="1"/>
  <c r="AL31" i="2"/>
  <c r="AL36" i="2"/>
  <c r="AI38" i="2"/>
  <c r="E52" i="1" s="1"/>
  <c r="AH38" i="2"/>
  <c r="E51" i="1" s="1"/>
  <c r="Z39" i="2"/>
  <c r="AI37" i="2"/>
  <c r="D52" i="1" s="1"/>
  <c r="T39" i="2" l="1"/>
  <c r="Q39" i="2" s="1"/>
  <c r="P39" i="2" s="1"/>
  <c r="U39" i="2" s="1"/>
  <c r="V39" i="2" s="1"/>
  <c r="AJ39" i="2" s="1"/>
  <c r="F48" i="1" s="1"/>
  <c r="I43" i="2"/>
  <c r="AK47" i="2"/>
  <c r="N53" i="1" s="1"/>
  <c r="H41" i="2"/>
  <c r="AC41" i="2" s="1"/>
  <c r="L39" i="2" l="1"/>
  <c r="M39" i="2" s="1"/>
  <c r="F45" i="1" s="1"/>
  <c r="AL39" i="2"/>
  <c r="H42" i="2"/>
  <c r="AC42" i="2" s="1"/>
  <c r="AK48" i="2"/>
  <c r="O53" i="1" s="1"/>
  <c r="I44" i="2"/>
  <c r="Y40" i="2" l="1"/>
  <c r="AG40" i="2" s="1"/>
  <c r="G50" i="1" s="1"/>
  <c r="N39" i="2"/>
  <c r="F46" i="1" s="1"/>
  <c r="AF40" i="2"/>
  <c r="G49" i="1" s="1"/>
  <c r="AH40" i="2"/>
  <c r="G51" i="1" s="1"/>
  <c r="AI40" i="2"/>
  <c r="G52" i="1" s="1"/>
  <c r="H43" i="2"/>
  <c r="AC43" i="2" s="1"/>
  <c r="I45" i="2"/>
  <c r="AK49" i="2"/>
  <c r="P53" i="1" s="1"/>
  <c r="Z40" i="2" l="1"/>
  <c r="I46" i="2"/>
  <c r="H44" i="2"/>
  <c r="AC44" i="2" s="1"/>
  <c r="T40" i="2" l="1"/>
  <c r="Q40" i="2" s="1"/>
  <c r="P40" i="2" s="1"/>
  <c r="H45" i="2"/>
  <c r="AC45" i="2" s="1"/>
  <c r="I47" i="2"/>
  <c r="L40" i="2" l="1"/>
  <c r="U40" i="2"/>
  <c r="V40" i="2" s="1"/>
  <c r="AJ40" i="2" s="1"/>
  <c r="G48" i="1" s="1"/>
  <c r="I49" i="2"/>
  <c r="H46" i="2"/>
  <c r="AC46" i="2" s="1"/>
  <c r="I48" i="2"/>
  <c r="AL40" i="2" l="1"/>
  <c r="M40" i="2"/>
  <c r="G45" i="1" s="1"/>
  <c r="Y41" i="2"/>
  <c r="H47" i="2"/>
  <c r="AC47" i="2" s="1"/>
  <c r="AG41" i="2" l="1"/>
  <c r="H50" i="1" s="1"/>
  <c r="Z41" i="2"/>
  <c r="N40" i="2"/>
  <c r="G46" i="1" s="1"/>
  <c r="AF41" i="2"/>
  <c r="H49" i="1" s="1"/>
  <c r="AI41" i="2"/>
  <c r="H52" i="1" s="1"/>
  <c r="AH41" i="2"/>
  <c r="H51" i="1" s="1"/>
  <c r="H48" i="2"/>
  <c r="AC48" i="2" s="1"/>
  <c r="T41" i="2" l="1"/>
  <c r="Q41" i="2" s="1"/>
  <c r="P41" i="2" s="1"/>
  <c r="H49" i="2"/>
  <c r="AC49" i="2" s="1"/>
  <c r="U41" i="2" l="1"/>
  <c r="V41" i="2" s="1"/>
  <c r="AJ41" i="2" s="1"/>
  <c r="H48" i="1" s="1"/>
  <c r="L41" i="2"/>
  <c r="AL41" i="2" l="1"/>
  <c r="Y42" i="2"/>
  <c r="M41" i="2"/>
  <c r="H45" i="1" s="1"/>
  <c r="Z42" i="2" l="1"/>
  <c r="AG42" i="2"/>
  <c r="I50" i="1" s="1"/>
  <c r="N41" i="2"/>
  <c r="H46" i="1" s="1"/>
  <c r="AI42" i="2"/>
  <c r="I52" i="1" s="1"/>
  <c r="AH42" i="2"/>
  <c r="I51" i="1" s="1"/>
  <c r="AF42" i="2"/>
  <c r="I49" i="1" s="1"/>
  <c r="T42" i="2" l="1"/>
  <c r="Q42" i="2" s="1"/>
  <c r="P42" i="2" s="1"/>
  <c r="L42" i="2" l="1"/>
  <c r="U42" i="2"/>
  <c r="V42" i="2" s="1"/>
  <c r="AJ42" i="2" s="1"/>
  <c r="I48" i="1" s="1"/>
  <c r="M42" i="2" l="1"/>
  <c r="I45" i="1" s="1"/>
  <c r="Y43" i="2"/>
  <c r="AL42" i="2"/>
  <c r="AI43" i="2" l="1"/>
  <c r="J52" i="1" s="1"/>
  <c r="AF43" i="2"/>
  <c r="J49" i="1" s="1"/>
  <c r="N42" i="2"/>
  <c r="I46" i="1" s="1"/>
  <c r="AH43" i="2"/>
  <c r="J51" i="1" s="1"/>
  <c r="Z43" i="2"/>
  <c r="AG43" i="2"/>
  <c r="J50" i="1" s="1"/>
  <c r="T43" i="2" l="1"/>
  <c r="Q43" i="2" s="1"/>
  <c r="P43" i="2" s="1"/>
  <c r="U43" i="2" l="1"/>
  <c r="V43" i="2" s="1"/>
  <c r="AJ43" i="2" s="1"/>
  <c r="J48" i="1" s="1"/>
  <c r="L43" i="2"/>
  <c r="AL43" i="2" l="1"/>
  <c r="Y44" i="2"/>
  <c r="M43" i="2"/>
  <c r="J45" i="1" s="1"/>
  <c r="Z44" i="2" l="1"/>
  <c r="AG44" i="2"/>
  <c r="K50" i="1" s="1"/>
  <c r="AF44" i="2"/>
  <c r="K49" i="1" s="1"/>
  <c r="N43" i="2"/>
  <c r="J46" i="1" s="1"/>
  <c r="AI44" i="2"/>
  <c r="K52" i="1" s="1"/>
  <c r="AH44" i="2"/>
  <c r="K51" i="1" s="1"/>
  <c r="T44" i="2" l="1"/>
  <c r="Q44" i="2" s="1"/>
  <c r="P44" i="2" s="1"/>
  <c r="U44" i="2" l="1"/>
  <c r="V44" i="2" s="1"/>
  <c r="AJ44" i="2" s="1"/>
  <c r="K48" i="1" s="1"/>
  <c r="L44" i="2"/>
  <c r="AL44" i="2" l="1"/>
  <c r="M44" i="2"/>
  <c r="K45" i="1" s="1"/>
  <c r="Y45" i="2"/>
  <c r="AG45" i="2" l="1"/>
  <c r="L50" i="1" s="1"/>
  <c r="Z45" i="2"/>
  <c r="AH45" i="2"/>
  <c r="L51" i="1" s="1"/>
  <c r="AF45" i="2"/>
  <c r="N44" i="2"/>
  <c r="K46" i="1" s="1"/>
  <c r="AI45" i="2"/>
  <c r="L52" i="1" s="1"/>
  <c r="L49" i="1" l="1"/>
  <c r="T45" i="2"/>
  <c r="Q45" i="2" s="1"/>
  <c r="P45" i="2" s="1"/>
  <c r="U45" i="2" l="1"/>
  <c r="V45" i="2" s="1"/>
  <c r="AJ45" i="2" s="1"/>
  <c r="L48" i="1" s="1"/>
  <c r="L45" i="2"/>
  <c r="AL45" i="2" l="1"/>
  <c r="M45" i="2"/>
  <c r="L45" i="1" s="1"/>
  <c r="Y46" i="2"/>
  <c r="AG46" i="2" l="1"/>
  <c r="M50" i="1" s="1"/>
  <c r="Z46" i="2"/>
  <c r="AF46" i="2"/>
  <c r="M49" i="1" s="1"/>
  <c r="AH46" i="2"/>
  <c r="M51" i="1" s="1"/>
  <c r="N45" i="2"/>
  <c r="L46" i="1" s="1"/>
  <c r="AI46" i="2"/>
  <c r="M52" i="1" s="1"/>
  <c r="T46" i="2" l="1"/>
  <c r="Q46" i="2" s="1"/>
  <c r="P46" i="2" s="1"/>
  <c r="U46" i="2" l="1"/>
  <c r="V46" i="2" s="1"/>
  <c r="AJ46" i="2" s="1"/>
  <c r="M48" i="1" s="1"/>
  <c r="L46" i="2"/>
  <c r="AL46" i="2" l="1"/>
  <c r="Y47" i="2"/>
  <c r="M46" i="2"/>
  <c r="M45" i="1" s="1"/>
  <c r="AG47" i="2" l="1"/>
  <c r="N50" i="1" s="1"/>
  <c r="Z47" i="2"/>
  <c r="AI47" i="2"/>
  <c r="N52" i="1" s="1"/>
  <c r="AH47" i="2"/>
  <c r="N51" i="1" s="1"/>
  <c r="AF47" i="2"/>
  <c r="N49" i="1" s="1"/>
  <c r="N46" i="2"/>
  <c r="M46" i="1" s="1"/>
  <c r="T47" i="2" l="1"/>
  <c r="Q47" i="2" s="1"/>
  <c r="P47" i="2" s="1"/>
  <c r="U47" i="2" l="1"/>
  <c r="V47" i="2" s="1"/>
  <c r="AJ47" i="2" s="1"/>
  <c r="N48" i="1" s="1"/>
  <c r="L47" i="2"/>
  <c r="AL47" i="2" l="1"/>
  <c r="M47" i="2"/>
  <c r="N45" i="1" s="1"/>
  <c r="Y48" i="2"/>
  <c r="AI48" i="2" l="1"/>
  <c r="O52" i="1" s="1"/>
  <c r="AH48" i="2"/>
  <c r="O51" i="1" s="1"/>
  <c r="N47" i="2"/>
  <c r="N46" i="1" s="1"/>
  <c r="AF48" i="2"/>
  <c r="AG48" i="2"/>
  <c r="O50" i="1" s="1"/>
  <c r="Z48" i="2"/>
  <c r="O49" i="1" l="1"/>
  <c r="T48" i="2"/>
  <c r="Q48" i="2" s="1"/>
  <c r="P48" i="2" s="1"/>
  <c r="L48" i="2" l="1"/>
  <c r="U48" i="2"/>
  <c r="V48" i="2" s="1"/>
  <c r="AJ48" i="2" s="1"/>
  <c r="O48" i="1" s="1"/>
  <c r="M48" i="2" l="1"/>
  <c r="O45" i="1" s="1"/>
  <c r="Y49" i="2"/>
  <c r="AL48" i="2"/>
  <c r="AI49" i="2" l="1"/>
  <c r="P52" i="1" s="1"/>
  <c r="N48" i="2"/>
  <c r="O46" i="1" s="1"/>
  <c r="AH49" i="2"/>
  <c r="P51" i="1" s="1"/>
  <c r="AF49" i="2"/>
  <c r="AG49" i="2"/>
  <c r="P50" i="1" s="1"/>
  <c r="Z49" i="2"/>
  <c r="P49" i="1" l="1"/>
  <c r="T49" i="2"/>
  <c r="Q49" i="2" s="1"/>
  <c r="P49" i="2" s="1"/>
  <c r="U49" i="2" l="1"/>
  <c r="V49" i="2" s="1"/>
  <c r="AJ49" i="2" s="1"/>
  <c r="P48" i="1" s="1"/>
  <c r="L49" i="2"/>
  <c r="M49" i="2" s="1"/>
  <c r="P45" i="1" s="1"/>
  <c r="AL49" i="2" l="1"/>
  <c r="N49" i="2"/>
  <c r="P46" i="1" s="1"/>
</calcChain>
</file>

<file path=xl/sharedStrings.xml><?xml version="1.0" encoding="utf-8"?>
<sst xmlns="http://schemas.openxmlformats.org/spreadsheetml/2006/main" count="234" uniqueCount="74">
  <si>
    <t>Interest expenditure</t>
  </si>
  <si>
    <t>Growth effect</t>
  </si>
  <si>
    <t>Inflation effect</t>
  </si>
  <si>
    <t>Primary balance</t>
  </si>
  <si>
    <t>Structural primary balance</t>
  </si>
  <si>
    <t>Gross Domestic Product</t>
  </si>
  <si>
    <t>Public Debt</t>
  </si>
  <si>
    <r>
      <t xml:space="preserve">Public Balance  </t>
    </r>
    <r>
      <rPr>
        <vertAlign val="superscript"/>
        <sz val="12"/>
        <color rgb="FF002060"/>
        <rFont val="Trebuchet MS"/>
        <family val="2"/>
      </rPr>
      <t>(a negative sign indecates a deficit)</t>
    </r>
  </si>
  <si>
    <t>Interest</t>
  </si>
  <si>
    <t>Stock flow adjustment</t>
  </si>
  <si>
    <t>Debt Sustainability Analysis</t>
  </si>
  <si>
    <t>Real GDP (2008=100)</t>
  </si>
  <si>
    <t>GDP deflator</t>
  </si>
  <si>
    <t>Nominal GDP</t>
  </si>
  <si>
    <t>Output gap (rhs)</t>
  </si>
  <si>
    <t>PD Variation</t>
  </si>
  <si>
    <t>Public balance</t>
  </si>
  <si>
    <t>Cyclical balance</t>
  </si>
  <si>
    <t>One-offs</t>
  </si>
  <si>
    <t>Structural balance</t>
  </si>
  <si>
    <t>Ageing</t>
  </si>
  <si>
    <t>Implicit interest rate</t>
  </si>
  <si>
    <t>Snowball effect</t>
  </si>
  <si>
    <t>Primary deficit</t>
  </si>
  <si>
    <t>Changes in PD ratio</t>
  </si>
  <si>
    <t>2008=100</t>
  </si>
  <si>
    <t>% y/y</t>
  </si>
  <si>
    <t>th bn eur</t>
  </si>
  <si>
    <t>% pot gdp</t>
  </si>
  <si>
    <t>% gdp</t>
  </si>
  <si>
    <t>% (nom)</t>
  </si>
  <si>
    <t>..</t>
  </si>
  <si>
    <t>Stability and Convergence Programme (SPC) + baseline scenario</t>
  </si>
  <si>
    <t>• SPCs' macro-fiscal assumptions over the programme horizon</t>
  </si>
  <si>
    <t>• Constant fiscal policy assumption (i.e. constant SPB at last programme year value beyond the SPC)</t>
  </si>
  <si>
    <r>
      <t>• Cyclical component of balance is calculated using standard country-specific semi-elasticity parameters (0.48)</t>
    </r>
    <r>
      <rPr>
        <i/>
        <sz val="10"/>
        <color theme="1"/>
        <rFont val="Trebuchet MS"/>
        <family val="2"/>
      </rPr>
      <t xml:space="preserve"> EEEP No. 478</t>
    </r>
  </si>
  <si>
    <t>• Inflation rate: convergencia al 2% en SPC+3</t>
  </si>
  <si>
    <t>• Stock flow adjustment is set to zero beyond SPC</t>
  </si>
  <si>
    <t>• The output gap is assumed to close in SPC+3</t>
  </si>
  <si>
    <t>• Potencial growth convergence to OG T+10 estimates in SPC (l</t>
  </si>
  <si>
    <t>• Shares of short-term and long-term debt over total would then be kept constant over the whole projection horizon (using the last three year average)</t>
  </si>
  <si>
    <t>Análisis gráfico de hipótesis</t>
  </si>
  <si>
    <t>Stability Programme Horizon</t>
  </si>
  <si>
    <t>Medium-Long Term</t>
  </si>
  <si>
    <t>Medium-Long term</t>
  </si>
  <si>
    <t>Past data</t>
  </si>
  <si>
    <t>Real GDP (%change)</t>
  </si>
  <si>
    <t>GDP deflator (% change)</t>
  </si>
  <si>
    <t>Output Gap</t>
  </si>
  <si>
    <t>One-of measures</t>
  </si>
  <si>
    <t>Structural Primary balance</t>
  </si>
  <si>
    <t>Stock-flow adjustment</t>
  </si>
  <si>
    <t>Macro-Fiscal Assumptions</t>
  </si>
  <si>
    <t>Evolution of gross public debt over GDP, baseline scenario</t>
  </si>
  <si>
    <t>Gross public debt ratio</t>
  </si>
  <si>
    <t>Changes in the ratio</t>
  </si>
  <si>
    <t>of which</t>
  </si>
  <si>
    <t>(1)  Primary balance</t>
  </si>
  <si>
    <t>(2)  Snowball effect</t>
  </si>
  <si>
    <t>(3)  Stock flow adjustment
       and one-off measures</t>
  </si>
  <si>
    <t>• Inflation rate: convergence to 2% in SPC+3</t>
  </si>
  <si>
    <t>Change in gross public debt (rhs)</t>
  </si>
  <si>
    <t>Primary balance contr. (rhs)</t>
  </si>
  <si>
    <t>Interest expenditure contr. (rhs)</t>
  </si>
  <si>
    <t>Real growth contr. (rhs)</t>
  </si>
  <si>
    <t>Inflation contr. (rhs)</t>
  </si>
  <si>
    <t>Stock flow adjustment (rhs)</t>
  </si>
  <si>
    <t>This excel sheet presents an illustration on the calculation of public debt dynamics and the contribution of its main determinants</t>
  </si>
  <si>
    <t xml:space="preserve">These calcuations support the accompanying Working paper on the Sustainability of the Spanish Public Debt </t>
  </si>
  <si>
    <t>The user might interact by playing with the assumptions on the evolution of the main determinants: (i) real GDP growth; (ii) inflation; (iii) output gap; (iv) the implicit interest rate; (v) one-off measures; (vi) the structural primary balance; and (vii) deficit-debt adjustments.</t>
  </si>
  <si>
    <t>The user values should be introduced in the "Results" sheet, in the green-shaded cells.</t>
  </si>
  <si>
    <t>Initial values are provided, defining a baseline scenario:</t>
  </si>
  <si>
    <t>- 2014-2017 values evolve according to the Spanish 2014-2017 Stability Programme Update</t>
  </si>
  <si>
    <t>- 2015-2024 values evolve according to some standard assumptions: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</si>
</sst>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%"/>
    <numFmt numFmtId="165" formatCode="_([$€]* #,##0.00_);_([$€]* \(#,##0.00\);_([$€]* &quot;-&quot;??_);_(@_)"/>
    <numFmt numFmtId="166" formatCode="#,##0.0"/>
    <numFmt numFmtId="167" formatCode="0.0"/>
    <numFmt numFmtId="168" formatCode="0.00000%"/>
    <numFmt numFmtId="169" formatCode="0.00000000"/>
    <numFmt numFmtId="170" formatCode="0.0000"/>
    <numFmt numFmtId="171" formatCode="0.0000000"/>
    <numFmt numFmtId="172" formatCode="0.000000%"/>
  </numFmts>
  <fonts count="33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4"/>
      <name val="Trebuchet MS"/>
      <family val="2"/>
    </font>
    <font>
      <sz val="12"/>
      <color theme="0" tint="-0.34998626667073579"/>
      <name val="Trebuchet MS"/>
      <family val="2"/>
    </font>
    <font>
      <sz val="12"/>
      <color rgb="FF002060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theme="1"/>
      <name val="Trebuchet MS"/>
      <family val="2"/>
    </font>
    <font>
      <sz val="10"/>
      <color theme="4" tint="-0.249977111117893"/>
      <name val="Trebuchet MS"/>
      <family val="2"/>
    </font>
    <font>
      <vertAlign val="superscript"/>
      <sz val="12"/>
      <color rgb="FF002060"/>
      <name val="Trebuchet MS"/>
      <family val="2"/>
    </font>
    <font>
      <sz val="10"/>
      <color indexed="57"/>
      <name val="Trebuchet MS"/>
      <family val="2"/>
    </font>
    <font>
      <sz val="10"/>
      <color theme="2" tint="-0.89999084444715716"/>
      <name val="Trebuchet MS"/>
      <family val="2"/>
    </font>
    <font>
      <sz val="10"/>
      <color theme="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color theme="0" tint="-0.249977111117893"/>
      <name val="Trebuchet MS"/>
      <family val="2"/>
    </font>
    <font>
      <sz val="4"/>
      <color theme="7" tint="0.39997558519241921"/>
      <name val="Trebuchet MS"/>
      <family val="2"/>
    </font>
    <font>
      <b/>
      <sz val="9"/>
      <color theme="1"/>
      <name val="Trebuchet MS"/>
      <family val="2"/>
    </font>
    <font>
      <sz val="9"/>
      <name val="Trebuchet MS"/>
      <family val="2"/>
    </font>
    <font>
      <i/>
      <sz val="10"/>
      <color theme="1"/>
      <name val="Trebuchet MS"/>
      <family val="2"/>
    </font>
    <font>
      <sz val="10"/>
      <color rgb="FF002060"/>
      <name val="Trebuchet MS"/>
      <family val="2"/>
    </font>
    <font>
      <sz val="10"/>
      <color theme="0" tint="-0.14999847407452621"/>
      <name val="Trebuchet MS"/>
      <family val="2"/>
    </font>
    <font>
      <sz val="11"/>
      <color theme="1"/>
      <name val="Tahoma"/>
      <family val="2"/>
    </font>
    <font>
      <b/>
      <sz val="10"/>
      <color theme="1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4.9989318521683403E-2"/>
      </left>
      <right/>
      <top style="thin">
        <color theme="2" tint="-0.749961851863155"/>
      </top>
      <bottom/>
      <diagonal/>
    </border>
    <border>
      <left/>
      <right style="thin">
        <color theme="0" tint="-4.9989318521683403E-2"/>
      </right>
      <top style="thin">
        <color theme="2" tint="-0.749961851863155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2" tint="-0.749961851863155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2" tint="-0.749961851863155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2" fillId="0" borderId="0"/>
    <xf numFmtId="0" fontId="13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quotePrefix="1" applyFont="1"/>
    <xf numFmtId="164" fontId="6" fillId="0" borderId="0" xfId="1" applyNumberFormat="1" applyFont="1"/>
    <xf numFmtId="164" fontId="6" fillId="16" borderId="0" xfId="1" applyNumberFormat="1" applyFont="1" applyFill="1"/>
    <xf numFmtId="0" fontId="4" fillId="0" borderId="0" xfId="0" applyFont="1"/>
    <xf numFmtId="0" fontId="6" fillId="0" borderId="0" xfId="0" applyFont="1"/>
    <xf numFmtId="0" fontId="6" fillId="16" borderId="0" xfId="0" applyFont="1" applyFill="1"/>
    <xf numFmtId="164" fontId="0" fillId="0" borderId="0" xfId="1" applyNumberFormat="1" applyFont="1"/>
    <xf numFmtId="0" fontId="8" fillId="15" borderId="2" xfId="0" applyFont="1" applyFill="1" applyBorder="1" applyAlignment="1">
      <alignment horizontal="centerContinuous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/>
    <xf numFmtId="164" fontId="6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/>
    <xf numFmtId="164" fontId="6" fillId="0" borderId="0" xfId="1" applyNumberFormat="1" applyFont="1" applyFill="1" applyBorder="1"/>
    <xf numFmtId="164" fontId="6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indent="4"/>
    </xf>
    <xf numFmtId="10" fontId="6" fillId="0" borderId="0" xfId="1" applyNumberFormat="1" applyFont="1" applyFill="1" applyBorder="1"/>
    <xf numFmtId="10" fontId="6" fillId="0" borderId="0" xfId="0" applyNumberFormat="1" applyFont="1" applyFill="1" applyBorder="1"/>
    <xf numFmtId="0" fontId="4" fillId="0" borderId="0" xfId="0" applyFont="1" applyFill="1" applyBorder="1" applyAlignment="1">
      <alignment horizontal="left" wrapText="1" indent="1"/>
    </xf>
    <xf numFmtId="0" fontId="15" fillId="0" borderId="0" xfId="0" applyFont="1" applyBorder="1"/>
    <xf numFmtId="0" fontId="0" fillId="0" borderId="0" xfId="0" applyFont="1"/>
    <xf numFmtId="0" fontId="17" fillId="0" borderId="0" xfId="0" applyFont="1"/>
    <xf numFmtId="0" fontId="18" fillId="17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9" fillId="18" borderId="6" xfId="0" applyFont="1" applyFill="1" applyBorder="1" applyAlignment="1">
      <alignment horizontal="centerContinuous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0" fontId="21" fillId="22" borderId="7" xfId="0" applyFont="1" applyFill="1" applyBorder="1" applyAlignment="1">
      <alignment horizontal="center" vertical="center" wrapText="1"/>
    </xf>
    <xf numFmtId="0" fontId="21" fillId="22" borderId="4" xfId="0" applyFont="1" applyFill="1" applyBorder="1" applyAlignment="1">
      <alignment horizontal="center" vertical="center" wrapText="1"/>
    </xf>
    <xf numFmtId="0" fontId="19" fillId="23" borderId="5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2" borderId="8" xfId="0" applyFont="1" applyFill="1" applyBorder="1" applyAlignment="1">
      <alignment horizontal="center" vertical="center" wrapText="1"/>
    </xf>
    <xf numFmtId="0" fontId="19" fillId="23" borderId="8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22" fillId="25" borderId="9" xfId="0" applyFont="1" applyFill="1" applyBorder="1" applyAlignment="1">
      <alignment horizontal="center"/>
    </xf>
    <xf numFmtId="166" fontId="23" fillId="24" borderId="10" xfId="0" applyNumberFormat="1" applyFont="1" applyFill="1" applyBorder="1" applyAlignment="1">
      <alignment horizontal="right" indent="1"/>
    </xf>
    <xf numFmtId="164" fontId="23" fillId="15" borderId="10" xfId="1" applyNumberFormat="1" applyFont="1" applyFill="1" applyBorder="1" applyAlignment="1">
      <alignment horizontal="right" indent="1"/>
    </xf>
    <xf numFmtId="3" fontId="23" fillId="24" borderId="10" xfId="0" applyNumberFormat="1" applyFont="1" applyFill="1" applyBorder="1" applyAlignment="1">
      <alignment horizontal="right" indent="1"/>
    </xf>
    <xf numFmtId="3" fontId="23" fillId="24" borderId="10" xfId="1" applyNumberFormat="1" applyFont="1" applyFill="1" applyBorder="1" applyAlignment="1">
      <alignment horizontal="right" indent="1"/>
    </xf>
    <xf numFmtId="164" fontId="24" fillId="0" borderId="10" xfId="1" applyNumberFormat="1" applyFont="1" applyFill="1" applyBorder="1" applyAlignment="1">
      <alignment horizontal="right" indent="1"/>
    </xf>
    <xf numFmtId="3" fontId="23" fillId="15" borderId="10" xfId="1" applyNumberFormat="1" applyFont="1" applyFill="1" applyBorder="1" applyAlignment="1">
      <alignment horizontal="right" indent="1"/>
    </xf>
    <xf numFmtId="164" fontId="23" fillId="15" borderId="0" xfId="1" applyNumberFormat="1" applyFont="1" applyFill="1" applyBorder="1" applyAlignment="1">
      <alignment horizontal="right" indent="1"/>
    </xf>
    <xf numFmtId="164" fontId="23" fillId="0" borderId="10" xfId="1" applyNumberFormat="1" applyFont="1" applyFill="1" applyBorder="1" applyAlignment="1">
      <alignment horizontal="right" indent="1"/>
    </xf>
    <xf numFmtId="0" fontId="25" fillId="26" borderId="0" xfId="0" applyFont="1" applyFill="1"/>
    <xf numFmtId="0" fontId="26" fillId="27" borderId="9" xfId="0" applyFont="1" applyFill="1" applyBorder="1" applyAlignment="1">
      <alignment horizontal="center"/>
    </xf>
    <xf numFmtId="0" fontId="22" fillId="28" borderId="9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68" fontId="0" fillId="0" borderId="0" xfId="0" applyNumberFormat="1" applyFont="1"/>
    <xf numFmtId="169" fontId="0" fillId="0" borderId="0" xfId="0" applyNumberFormat="1" applyFont="1"/>
    <xf numFmtId="168" fontId="14" fillId="0" borderId="0" xfId="1" applyNumberFormat="1" applyFont="1"/>
    <xf numFmtId="170" fontId="0" fillId="0" borderId="0" xfId="0" applyNumberFormat="1" applyFont="1"/>
    <xf numFmtId="0" fontId="0" fillId="0" borderId="0" xfId="0" quotePrefix="1" applyFont="1"/>
    <xf numFmtId="0" fontId="0" fillId="0" borderId="0" xfId="0" applyAlignment="1"/>
    <xf numFmtId="171" fontId="0" fillId="0" borderId="0" xfId="0" applyNumberFormat="1" applyFont="1"/>
    <xf numFmtId="172" fontId="0" fillId="0" borderId="0" xfId="0" applyNumberFormat="1" applyFont="1"/>
    <xf numFmtId="164" fontId="2" fillId="0" borderId="0" xfId="1" applyNumberFormat="1" applyFont="1" applyBorder="1" applyAlignment="1">
      <alignment horizontal="right"/>
    </xf>
    <xf numFmtId="0" fontId="29" fillId="26" borderId="0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Continuous" vertical="center"/>
    </xf>
    <xf numFmtId="0" fontId="8" fillId="26" borderId="15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0" fontId="18" fillId="30" borderId="8" xfId="0" applyFont="1" applyFill="1" applyBorder="1" applyAlignment="1">
      <alignment horizontal="center" vertical="center" wrapText="1"/>
    </xf>
    <xf numFmtId="0" fontId="21" fillId="30" borderId="8" xfId="0" applyFont="1" applyFill="1" applyBorder="1" applyAlignment="1">
      <alignment horizontal="center" vertical="center" wrapText="1"/>
    </xf>
    <xf numFmtId="164" fontId="2" fillId="26" borderId="0" xfId="1" applyNumberFormat="1" applyFont="1" applyFill="1" applyBorder="1" applyAlignment="1">
      <alignment horizontal="center"/>
    </xf>
    <xf numFmtId="0" fontId="18" fillId="21" borderId="3" xfId="0" applyFont="1" applyFill="1" applyBorder="1" applyAlignment="1">
      <alignment vertical="center" wrapText="1"/>
    </xf>
    <xf numFmtId="164" fontId="2" fillId="26" borderId="0" xfId="1" applyNumberFormat="1" applyFont="1" applyFill="1" applyBorder="1" applyAlignment="1">
      <alignment horizontal="right"/>
    </xf>
    <xf numFmtId="0" fontId="0" fillId="26" borderId="0" xfId="0" applyFill="1"/>
    <xf numFmtId="0" fontId="4" fillId="15" borderId="2" xfId="0" applyFont="1" applyFill="1" applyBorder="1" applyAlignment="1">
      <alignment horizontal="centerContinuous" vertical="center"/>
    </xf>
    <xf numFmtId="0" fontId="5" fillId="0" borderId="0" xfId="0" applyFont="1"/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4"/>
    </xf>
    <xf numFmtId="0" fontId="4" fillId="0" borderId="0" xfId="0" applyFont="1" applyAlignment="1">
      <alignment horizontal="left" wrapText="1" indent="1"/>
    </xf>
    <xf numFmtId="0" fontId="29" fillId="26" borderId="15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19" fillId="18" borderId="3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textRotation="90" wrapText="1"/>
    </xf>
    <xf numFmtId="0" fontId="18" fillId="17" borderId="3" xfId="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9" fillId="18" borderId="3" xfId="0" applyFont="1" applyFill="1" applyBorder="1" applyAlignment="1">
      <alignment horizontal="center" vertical="center"/>
    </xf>
    <xf numFmtId="0" fontId="19" fillId="18" borderId="4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 wrapText="1"/>
    </xf>
    <xf numFmtId="0" fontId="18" fillId="19" borderId="4" xfId="0" applyFont="1" applyFill="1" applyBorder="1" applyAlignment="1">
      <alignment horizontal="center" vertical="center" wrapText="1"/>
    </xf>
    <xf numFmtId="0" fontId="21" fillId="29" borderId="0" xfId="0" applyFont="1" applyFill="1" applyAlignment="1">
      <alignment horizontal="center" vertical="center" textRotation="90" wrapText="1"/>
    </xf>
    <xf numFmtId="0" fontId="0" fillId="24" borderId="0" xfId="0" applyFill="1" applyAlignment="1">
      <alignment horizontal="center" vertical="center" textRotation="90" wrapText="1"/>
    </xf>
    <xf numFmtId="0" fontId="18" fillId="21" borderId="3" xfId="0" applyFont="1" applyFill="1" applyBorder="1" applyAlignment="1">
      <alignment horizontal="center" vertical="center" wrapText="1"/>
    </xf>
    <xf numFmtId="0" fontId="18" fillId="21" borderId="4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Continuous" vertical="center"/>
    </xf>
    <xf numFmtId="0" fontId="8" fillId="26" borderId="18" xfId="0" applyFont="1" applyFill="1" applyBorder="1" applyAlignment="1">
      <alignment horizontal="centerContinuous" vertical="center"/>
    </xf>
    <xf numFmtId="0" fontId="8" fillId="26" borderId="19" xfId="0" applyFont="1" applyFill="1" applyBorder="1" applyAlignment="1">
      <alignment horizontal="centerContinuous" vertical="center"/>
    </xf>
    <xf numFmtId="0" fontId="29" fillId="26" borderId="17" xfId="0" applyFont="1" applyFill="1" applyBorder="1" applyAlignment="1">
      <alignment horizontal="center" vertical="center" wrapText="1"/>
    </xf>
    <xf numFmtId="0" fontId="29" fillId="26" borderId="18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164" fontId="2" fillId="26" borderId="17" xfId="1" applyNumberFormat="1" applyFont="1" applyFill="1" applyBorder="1" applyAlignment="1">
      <alignment horizontal="center"/>
    </xf>
    <xf numFmtId="164" fontId="2" fillId="26" borderId="21" xfId="1" applyNumberFormat="1" applyFont="1" applyFill="1" applyBorder="1" applyAlignment="1">
      <alignment horizontal="center"/>
    </xf>
    <xf numFmtId="164" fontId="2" fillId="26" borderId="22" xfId="1" applyNumberFormat="1" applyFont="1" applyFill="1" applyBorder="1" applyAlignment="1">
      <alignment horizontal="center"/>
    </xf>
    <xf numFmtId="164" fontId="2" fillId="26" borderId="18" xfId="1" applyNumberFormat="1" applyFont="1" applyFill="1" applyBorder="1" applyAlignment="1">
      <alignment horizontal="center"/>
    </xf>
    <xf numFmtId="164" fontId="2" fillId="26" borderId="23" xfId="1" applyNumberFormat="1" applyFont="1" applyFill="1" applyBorder="1" applyAlignment="1">
      <alignment horizontal="center"/>
    </xf>
    <xf numFmtId="164" fontId="2" fillId="26" borderId="24" xfId="1" applyNumberFormat="1" applyFont="1" applyFill="1" applyBorder="1" applyAlignment="1">
      <alignment horizontal="center"/>
    </xf>
    <xf numFmtId="164" fontId="2" fillId="26" borderId="19" xfId="1" applyNumberFormat="1" applyFont="1" applyFill="1" applyBorder="1" applyAlignment="1">
      <alignment horizontal="center"/>
    </xf>
    <xf numFmtId="164" fontId="2" fillId="26" borderId="20" xfId="1" applyNumberFormat="1" applyFont="1" applyFill="1" applyBorder="1" applyAlignment="1">
      <alignment horizontal="center"/>
    </xf>
    <xf numFmtId="164" fontId="2" fillId="26" borderId="25" xfId="1" applyNumberFormat="1" applyFont="1" applyFill="1" applyBorder="1" applyAlignment="1">
      <alignment horizontal="center"/>
    </xf>
    <xf numFmtId="164" fontId="27" fillId="26" borderId="10" xfId="1" applyNumberFormat="1" applyFont="1" applyFill="1" applyBorder="1" applyAlignment="1">
      <alignment horizontal="right" indent="1"/>
    </xf>
    <xf numFmtId="167" fontId="27" fillId="26" borderId="12" xfId="1" applyNumberFormat="1" applyFont="1" applyFill="1" applyBorder="1" applyAlignment="1">
      <alignment horizontal="right" indent="1"/>
    </xf>
    <xf numFmtId="167" fontId="27" fillId="26" borderId="0" xfId="1" applyNumberFormat="1" applyFont="1" applyFill="1" applyBorder="1" applyAlignment="1">
      <alignment horizontal="right" indent="1"/>
    </xf>
    <xf numFmtId="166" fontId="27" fillId="26" borderId="10" xfId="0" applyNumberFormat="1" applyFont="1" applyFill="1" applyBorder="1" applyAlignment="1">
      <alignment horizontal="right" indent="1"/>
    </xf>
    <xf numFmtId="167" fontId="27" fillId="26" borderId="10" xfId="1" applyNumberFormat="1" applyFont="1" applyFill="1" applyBorder="1" applyAlignment="1">
      <alignment horizontal="right" indent="1"/>
    </xf>
    <xf numFmtId="166" fontId="27" fillId="26" borderId="0" xfId="0" applyNumberFormat="1" applyFont="1" applyFill="1" applyAlignment="1">
      <alignment horizontal="right" indent="1"/>
    </xf>
    <xf numFmtId="0" fontId="21" fillId="26" borderId="0" xfId="0" applyFont="1" applyFill="1"/>
    <xf numFmtId="166" fontId="27" fillId="26" borderId="11" xfId="0" applyNumberFormat="1" applyFont="1" applyFill="1" applyBorder="1" applyAlignment="1">
      <alignment horizontal="right" indent="1"/>
    </xf>
    <xf numFmtId="166" fontId="27" fillId="26" borderId="10" xfId="1" applyNumberFormat="1" applyFont="1" applyFill="1" applyBorder="1" applyAlignment="1">
      <alignment horizontal="right" indent="1"/>
    </xf>
    <xf numFmtId="164" fontId="27" fillId="26" borderId="0" xfId="1" applyNumberFormat="1" applyFont="1" applyFill="1" applyBorder="1" applyAlignment="1">
      <alignment horizontal="right" indent="1"/>
    </xf>
    <xf numFmtId="164" fontId="20" fillId="26" borderId="10" xfId="1" applyNumberFormat="1" applyFont="1" applyFill="1" applyBorder="1" applyAlignment="1">
      <alignment horizontal="right" indent="1"/>
    </xf>
    <xf numFmtId="164" fontId="27" fillId="26" borderId="0" xfId="0" applyNumberFormat="1" applyFont="1" applyFill="1" applyAlignment="1">
      <alignment horizontal="center"/>
    </xf>
    <xf numFmtId="164" fontId="21" fillId="26" borderId="0" xfId="0" applyNumberFormat="1" applyFont="1" applyFill="1"/>
    <xf numFmtId="166" fontId="27" fillId="26" borderId="14" xfId="1" applyNumberFormat="1" applyFont="1" applyFill="1" applyBorder="1" applyAlignment="1">
      <alignment horizontal="right" indent="1"/>
    </xf>
    <xf numFmtId="164" fontId="27" fillId="26" borderId="13" xfId="1" applyNumberFormat="1" applyFont="1" applyFill="1" applyBorder="1" applyAlignment="1">
      <alignment horizontal="right" indent="1"/>
    </xf>
    <xf numFmtId="3" fontId="27" fillId="26" borderId="10" xfId="1" applyNumberFormat="1" applyFont="1" applyFill="1" applyBorder="1" applyAlignment="1">
      <alignment horizontal="right" indent="1"/>
    </xf>
    <xf numFmtId="164" fontId="27" fillId="26" borderId="12" xfId="1" applyNumberFormat="1" applyFont="1" applyFill="1" applyBorder="1" applyAlignment="1">
      <alignment horizontal="right" indent="1"/>
    </xf>
    <xf numFmtId="10" fontId="27" fillId="26" borderId="10" xfId="1" applyNumberFormat="1" applyFont="1" applyFill="1" applyBorder="1" applyAlignment="1">
      <alignment horizontal="right" indent="1"/>
    </xf>
    <xf numFmtId="167" fontId="27" fillId="26" borderId="13" xfId="1" applyNumberFormat="1" applyFont="1" applyFill="1" applyBorder="1" applyAlignment="1">
      <alignment horizontal="right" indent="1"/>
    </xf>
    <xf numFmtId="166" fontId="27" fillId="26" borderId="13" xfId="1" applyNumberFormat="1" applyFont="1" applyFill="1" applyBorder="1" applyAlignment="1">
      <alignment horizontal="right" indent="1"/>
    </xf>
    <xf numFmtId="10" fontId="27" fillId="26" borderId="13" xfId="1" applyNumberFormat="1" applyFont="1" applyFill="1" applyBorder="1" applyAlignment="1">
      <alignment horizontal="right" indent="1"/>
    </xf>
    <xf numFmtId="164" fontId="20" fillId="26" borderId="13" xfId="1" applyNumberFormat="1" applyFont="1" applyFill="1" applyBorder="1" applyAlignment="1">
      <alignment horizontal="right" indent="1"/>
    </xf>
    <xf numFmtId="0" fontId="30" fillId="0" borderId="0" xfId="0" applyFont="1"/>
    <xf numFmtId="0" fontId="31" fillId="30" borderId="26" xfId="0" applyFont="1" applyFill="1" applyBorder="1" applyAlignment="1">
      <alignment horizontal="left" vertical="center" wrapText="1"/>
    </xf>
    <xf numFmtId="0" fontId="31" fillId="30" borderId="27" xfId="0" applyFont="1" applyFill="1" applyBorder="1" applyAlignment="1">
      <alignment horizontal="left" vertical="center" wrapText="1"/>
    </xf>
    <xf numFmtId="0" fontId="31" fillId="30" borderId="28" xfId="0" applyFont="1" applyFill="1" applyBorder="1" applyAlignment="1">
      <alignment horizontal="left" vertical="center" wrapText="1"/>
    </xf>
    <xf numFmtId="0" fontId="0" fillId="22" borderId="0" xfId="0" applyFill="1"/>
    <xf numFmtId="0" fontId="0" fillId="22" borderId="0" xfId="0" applyFill="1" applyAlignment="1">
      <alignment horizontal="left" wrapText="1"/>
    </xf>
    <xf numFmtId="0" fontId="0" fillId="22" borderId="0" xfId="0" quotePrefix="1" applyFill="1"/>
    <xf numFmtId="0" fontId="0" fillId="22" borderId="0" xfId="0" quotePrefix="1" applyFont="1" applyFill="1"/>
    <xf numFmtId="0" fontId="3" fillId="22" borderId="0" xfId="0" quotePrefix="1" applyFont="1" applyFill="1"/>
    <xf numFmtId="0" fontId="32" fillId="22" borderId="0" xfId="0" applyFont="1" applyFill="1" applyAlignment="1">
      <alignment horizontal="left" wrapText="1"/>
    </xf>
    <xf numFmtId="164" fontId="2" fillId="31" borderId="17" xfId="1" applyNumberFormat="1" applyFont="1" applyFill="1" applyBorder="1" applyAlignment="1" applyProtection="1">
      <alignment horizontal="center"/>
      <protection locked="0" hidden="1"/>
    </xf>
    <xf numFmtId="164" fontId="2" fillId="31" borderId="21" xfId="1" applyNumberFormat="1" applyFont="1" applyFill="1" applyBorder="1" applyAlignment="1" applyProtection="1">
      <alignment horizontal="center"/>
      <protection locked="0" hidden="1"/>
    </xf>
    <xf numFmtId="164" fontId="2" fillId="31" borderId="18" xfId="1" applyNumberFormat="1" applyFont="1" applyFill="1" applyBorder="1" applyAlignment="1" applyProtection="1">
      <alignment horizontal="center"/>
      <protection locked="0" hidden="1"/>
    </xf>
    <xf numFmtId="164" fontId="2" fillId="31" borderId="23" xfId="1" applyNumberFormat="1" applyFont="1" applyFill="1" applyBorder="1" applyAlignment="1" applyProtection="1">
      <alignment horizontal="center"/>
      <protection locked="0" hidden="1"/>
    </xf>
    <xf numFmtId="164" fontId="2" fillId="31" borderId="19" xfId="1" applyNumberFormat="1" applyFont="1" applyFill="1" applyBorder="1" applyAlignment="1" applyProtection="1">
      <alignment horizontal="center"/>
      <protection locked="0" hidden="1"/>
    </xf>
    <xf numFmtId="164" fontId="2" fillId="31" borderId="20" xfId="1" applyNumberFormat="1" applyFont="1" applyFill="1" applyBorder="1" applyAlignment="1" applyProtection="1">
      <alignment horizontal="center"/>
      <protection locked="0" hidden="1"/>
    </xf>
  </cellXfs>
  <cellStyles count="2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Euro" xfId="14"/>
    <cellStyle name="Millares 2" xfId="15"/>
    <cellStyle name="Normal" xfId="0" builtinId="0"/>
    <cellStyle name="Normal 2" xfId="16"/>
    <cellStyle name="Normal 2 2" xfId="17"/>
    <cellStyle name="Normal 3" xfId="18"/>
    <cellStyle name="Normal 4" xfId="19"/>
    <cellStyle name="Notas 2" xfId="20"/>
    <cellStyle name="Porcentaje" xfId="1" builtinId="5"/>
    <cellStyle name="Porcentaje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820270270270303E-2"/>
          <c:y val="4.0855638215416303E-2"/>
          <c:w val="0.83196021021021005"/>
          <c:h val="0.7245081699346399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Results!$A$50</c:f>
              <c:strCache>
                <c:ptCount val="1"/>
                <c:pt idx="0">
                  <c:v>Interest expenditure contr. (rhs)</c:v>
                </c:pt>
              </c:strCache>
            </c:strRef>
          </c:tx>
          <c:spPr>
            <a:solidFill>
              <a:srgbClr val="8C2633"/>
            </a:solidFill>
          </c:spPr>
          <c:invertIfNegative val="0"/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Results!$C$50:$P$50</c:f>
              <c:numCache>
                <c:formatCode>0.0%</c:formatCode>
                <c:ptCount val="14"/>
                <c:pt idx="0">
                  <c:v>2.5184287512412466E-2</c:v>
                </c:pt>
                <c:pt idx="1">
                  <c:v>3.0616577235132555E-2</c:v>
                </c:pt>
                <c:pt idx="2">
                  <c:v>3.4307342803630146E-2</c:v>
                </c:pt>
                <c:pt idx="3">
                  <c:v>3.506634699285225E-2</c:v>
                </c:pt>
                <c:pt idx="4">
                  <c:v>3.6164438047951629E-2</c:v>
                </c:pt>
                <c:pt idx="5">
                  <c:v>3.704659115272721E-2</c:v>
                </c:pt>
                <c:pt idx="6">
                  <c:v>3.7589109456657901E-2</c:v>
                </c:pt>
                <c:pt idx="7">
                  <c:v>3.7525002684966002E-2</c:v>
                </c:pt>
                <c:pt idx="8">
                  <c:v>3.7231099245076976E-2</c:v>
                </c:pt>
                <c:pt idx="9">
                  <c:v>3.6404354102873231E-2</c:v>
                </c:pt>
                <c:pt idx="10">
                  <c:v>3.5648205422259292E-2</c:v>
                </c:pt>
                <c:pt idx="11">
                  <c:v>3.479798633406854E-2</c:v>
                </c:pt>
                <c:pt idx="12">
                  <c:v>3.4028043683230265E-2</c:v>
                </c:pt>
                <c:pt idx="13">
                  <c:v>3.3399965201215902E-2</c:v>
                </c:pt>
              </c:numCache>
            </c:numRef>
          </c:val>
        </c:ser>
        <c:ser>
          <c:idx val="6"/>
          <c:order val="3"/>
          <c:tx>
            <c:strRef>
              <c:f>Results!$A$52</c:f>
              <c:strCache>
                <c:ptCount val="1"/>
                <c:pt idx="0">
                  <c:v>Inflation contr. (rhs)</c:v>
                </c:pt>
              </c:strCache>
            </c:strRef>
          </c:tx>
          <c:spPr>
            <a:solidFill>
              <a:srgbClr val="F3D1D5"/>
            </a:solidFill>
          </c:spPr>
          <c:invertIfNegative val="0"/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Results!$C$52:$P$52</c:f>
              <c:numCache>
                <c:formatCode>0.0%</c:formatCode>
                <c:ptCount val="14"/>
                <c:pt idx="0">
                  <c:v>-1.066453324017314E-4</c:v>
                </c:pt>
                <c:pt idx="1">
                  <c:v>-8.7532290061070948E-5</c:v>
                </c:pt>
                <c:pt idx="2">
                  <c:v>-5.321140929228938E-3</c:v>
                </c:pt>
                <c:pt idx="3">
                  <c:v>-4.4623224486471007E-3</c:v>
                </c:pt>
                <c:pt idx="4">
                  <c:v>-8.019690965608171E-3</c:v>
                </c:pt>
                <c:pt idx="5">
                  <c:v>-1.1443455753341618E-2</c:v>
                </c:pt>
                <c:pt idx="6">
                  <c:v>-1.4994089680023366E-2</c:v>
                </c:pt>
                <c:pt idx="7">
                  <c:v>-1.616470388130839E-2</c:v>
                </c:pt>
                <c:pt idx="8">
                  <c:v>-1.7182174196798846E-2</c:v>
                </c:pt>
                <c:pt idx="9">
                  <c:v>-1.7939001127513288E-2</c:v>
                </c:pt>
                <c:pt idx="10">
                  <c:v>-1.716657677308394E-2</c:v>
                </c:pt>
                <c:pt idx="11">
                  <c:v>-1.6444732634918715E-2</c:v>
                </c:pt>
                <c:pt idx="12">
                  <c:v>-1.571417018756633E-2</c:v>
                </c:pt>
                <c:pt idx="13">
                  <c:v>-1.5044012623442446E-2</c:v>
                </c:pt>
              </c:numCache>
            </c:numRef>
          </c:val>
        </c:ser>
        <c:ser>
          <c:idx val="7"/>
          <c:order val="4"/>
          <c:tx>
            <c:strRef>
              <c:f>Results!$A$53</c:f>
              <c:strCache>
                <c:ptCount val="1"/>
                <c:pt idx="0">
                  <c:v>Stock flow adjustment (rhs)</c:v>
                </c:pt>
              </c:strCache>
            </c:strRef>
          </c:tx>
          <c:spPr>
            <a:solidFill>
              <a:srgbClr val="97999B"/>
            </a:solidFill>
          </c:spPr>
          <c:invertIfNegative val="0"/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Results!$C$53:$P$53</c:f>
              <c:numCache>
                <c:formatCode>0.0%</c:formatCode>
                <c:ptCount val="14"/>
                <c:pt idx="0">
                  <c:v>-7.0326408474597028E-3</c:v>
                </c:pt>
                <c:pt idx="1">
                  <c:v>3.6787572660085407E-2</c:v>
                </c:pt>
                <c:pt idx="2">
                  <c:v>3.2928783133329524E-3</c:v>
                </c:pt>
                <c:pt idx="3">
                  <c:v>1.7000000000000001E-2</c:v>
                </c:pt>
                <c:pt idx="4">
                  <c:v>5.5000000000000005E-3</c:v>
                </c:pt>
                <c:pt idx="5">
                  <c:v>3.4999999999999996E-3</c:v>
                </c:pt>
                <c:pt idx="6">
                  <c:v>3.4999999999999996E-3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Results!$A$51</c:f>
              <c:strCache>
                <c:ptCount val="1"/>
                <c:pt idx="0">
                  <c:v>Real growth contr. (rhs)</c:v>
                </c:pt>
              </c:strCache>
            </c:strRef>
          </c:tx>
          <c:spPr>
            <a:solidFill>
              <a:srgbClr val="CFD0D0"/>
            </a:solidFill>
          </c:spPr>
          <c:invertIfNegative val="0"/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Results!$C$51:$P$51</c:f>
              <c:numCache>
                <c:formatCode>0.0%</c:formatCode>
                <c:ptCount val="14"/>
                <c:pt idx="0">
                  <c:v>-3.0996556099688213E-4</c:v>
                </c:pt>
                <c:pt idx="1">
                  <c:v>1.1760452294340539E-2</c:v>
                </c:pt>
                <c:pt idx="2">
                  <c:v>1.0607139990212865E-2</c:v>
                </c:pt>
                <c:pt idx="3">
                  <c:v>-1.1439549650828476E-2</c:v>
                </c:pt>
                <c:pt idx="4">
                  <c:v>-1.7070893031303269E-2</c:v>
                </c:pt>
                <c:pt idx="5">
                  <c:v>-2.2259234650947146E-2</c:v>
                </c:pt>
                <c:pt idx="6">
                  <c:v>-2.8881196919703239E-2</c:v>
                </c:pt>
                <c:pt idx="7">
                  <c:v>-1.524109868934854E-2</c:v>
                </c:pt>
                <c:pt idx="8">
                  <c:v>-2.0165513453365654E-2</c:v>
                </c:pt>
                <c:pt idx="9">
                  <c:v>-2.2490133443053215E-2</c:v>
                </c:pt>
                <c:pt idx="10">
                  <c:v>-1.6521025808333704E-2</c:v>
                </c:pt>
                <c:pt idx="11">
                  <c:v>-1.729672249097703E-2</c:v>
                </c:pt>
                <c:pt idx="12">
                  <c:v>-1.7162552030944619E-2</c:v>
                </c:pt>
                <c:pt idx="13">
                  <c:v>-1.1115210245445003E-2</c:v>
                </c:pt>
              </c:numCache>
            </c:numRef>
          </c:val>
        </c:ser>
        <c:ser>
          <c:idx val="2"/>
          <c:order val="6"/>
          <c:tx>
            <c:strRef>
              <c:f>Results!$A$48</c:f>
              <c:strCache>
                <c:ptCount val="1"/>
                <c:pt idx="0">
                  <c:v>Primary balance contr. (rhs)</c:v>
                </c:pt>
              </c:strCache>
            </c:strRef>
          </c:tx>
          <c:spPr>
            <a:solidFill>
              <a:srgbClr val="548CC6"/>
            </a:solidFill>
          </c:spPr>
          <c:invertIfNegative val="0"/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Results!$C$48:$P$48</c:f>
              <c:numCache>
                <c:formatCode>0.0%</c:formatCode>
                <c:ptCount val="14"/>
                <c:pt idx="0">
                  <c:v>7.0456941281262939E-2</c:v>
                </c:pt>
                <c:pt idx="1">
                  <c:v>7.57297175984354E-2</c:v>
                </c:pt>
                <c:pt idx="2">
                  <c:v>3.6638748450617209E-2</c:v>
                </c:pt>
                <c:pt idx="3">
                  <c:v>1.9519753519025136E-2</c:v>
                </c:pt>
                <c:pt idx="4">
                  <c:v>5.767765936814921E-3</c:v>
                </c:pt>
                <c:pt idx="5">
                  <c:v>-9.2608271689514528E-3</c:v>
                </c:pt>
                <c:pt idx="6">
                  <c:v>-2.664266960138716E-2</c:v>
                </c:pt>
                <c:pt idx="7">
                  <c:v>-3.0556101555377777E-2</c:v>
                </c:pt>
                <c:pt idx="8">
                  <c:v>-3.4469533509368384E-2</c:v>
                </c:pt>
                <c:pt idx="9">
                  <c:v>-3.8382965463359002E-2</c:v>
                </c:pt>
                <c:pt idx="10">
                  <c:v>-3.8382965463359002E-2</c:v>
                </c:pt>
                <c:pt idx="11">
                  <c:v>-3.8382965463358995E-2</c:v>
                </c:pt>
                <c:pt idx="12">
                  <c:v>-3.8382965463358995E-2</c:v>
                </c:pt>
                <c:pt idx="13">
                  <c:v>-3.8382965463358995E-2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371200"/>
        <c:axId val="148016128"/>
      </c:barChart>
      <c:lineChart>
        <c:grouping val="standard"/>
        <c:varyColors val="0"/>
        <c:ser>
          <c:idx val="1"/>
          <c:order val="1"/>
          <c:tx>
            <c:strRef>
              <c:f>Results!$B$45</c:f>
              <c:strCache>
                <c:ptCount val="1"/>
                <c:pt idx="0">
                  <c:v>Gross public debt ratio</c:v>
                </c:pt>
              </c:strCache>
            </c:strRef>
          </c:tx>
          <c:spPr>
            <a:ln w="412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Results!$C$44:$P$44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Results!$C$45:$P$45</c:f>
              <c:numCache>
                <c:formatCode>0.0%</c:formatCode>
                <c:ptCount val="14"/>
                <c:pt idx="0">
                  <c:v>0.70475665351271644</c:v>
                </c:pt>
                <c:pt idx="1">
                  <c:v>0.8595634410106493</c:v>
                </c:pt>
                <c:pt idx="2">
                  <c:v>0.93908840963921369</c:v>
                </c:pt>
                <c:pt idx="3">
                  <c:v>0.99477263805161531</c:v>
                </c:pt>
                <c:pt idx="4">
                  <c:v>1.0171142580394705</c:v>
                </c:pt>
                <c:pt idx="5">
                  <c:v>1.0146973316189574</c:v>
                </c:pt>
                <c:pt idx="6">
                  <c:v>0.98526848487450169</c:v>
                </c:pt>
                <c:pt idx="7">
                  <c:v>0.96083158343343289</c:v>
                </c:pt>
                <c:pt idx="8">
                  <c:v>0.92624546151897691</c:v>
                </c:pt>
                <c:pt idx="9">
                  <c:v>0.88383771558792468</c:v>
                </c:pt>
                <c:pt idx="10">
                  <c:v>0.84741535296540726</c:v>
                </c:pt>
                <c:pt idx="11">
                  <c:v>0.81008891871022115</c:v>
                </c:pt>
                <c:pt idx="12">
                  <c:v>0.7728572747115815</c:v>
                </c:pt>
                <c:pt idx="13">
                  <c:v>0.74171505158055095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12032"/>
        <c:axId val="148014208"/>
      </c:lineChart>
      <c:lineChart>
        <c:grouping val="standard"/>
        <c:varyColors val="0"/>
        <c:ser>
          <c:idx val="0"/>
          <c:order val="2"/>
          <c:tx>
            <c:strRef>
              <c:f>Results!$A$46</c:f>
              <c:strCache>
                <c:ptCount val="1"/>
                <c:pt idx="0">
                  <c:v>Change in gross public debt (rhs)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18"/>
            <c:spPr>
              <a:solidFill>
                <a:srgbClr val="FF731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[1]tablas_noageing!$C$5:$P$5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Results!$C$46:$P$46</c:f>
              <c:numCache>
                <c:formatCode>0.0%</c:formatCode>
                <c:ptCount val="14"/>
                <c:pt idx="0">
                  <c:v>8.8191977052817006E-2</c:v>
                </c:pt>
                <c:pt idx="1">
                  <c:v>0.15480678749793286</c:v>
                </c:pt>
                <c:pt idx="2">
                  <c:v>7.9524968628564396E-2</c:v>
                </c:pt>
                <c:pt idx="3">
                  <c:v>5.5684228412401615E-2</c:v>
                </c:pt>
                <c:pt idx="4">
                  <c:v>2.2341619987855221E-2</c:v>
                </c:pt>
                <c:pt idx="5">
                  <c:v>-2.4169264205131658E-3</c:v>
                </c:pt>
                <c:pt idx="6">
                  <c:v>-2.9428846744455672E-2</c:v>
                </c:pt>
                <c:pt idx="7">
                  <c:v>-2.4436901441068803E-2</c:v>
                </c:pt>
                <c:pt idx="8">
                  <c:v>-3.4586121914455981E-2</c:v>
                </c:pt>
                <c:pt idx="9">
                  <c:v>-4.2407745931052232E-2</c:v>
                </c:pt>
                <c:pt idx="10">
                  <c:v>-3.6422362622517412E-2</c:v>
                </c:pt>
                <c:pt idx="11">
                  <c:v>-3.7326434255186114E-2</c:v>
                </c:pt>
                <c:pt idx="12">
                  <c:v>-3.7231643998639652E-2</c:v>
                </c:pt>
                <c:pt idx="13">
                  <c:v>-3.1142223131030544E-2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71200"/>
        <c:axId val="148016128"/>
      </c:lineChart>
      <c:catAx>
        <c:axId val="1480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148014208"/>
        <c:crosses val="autoZero"/>
        <c:auto val="1"/>
        <c:lblAlgn val="ctr"/>
        <c:lblOffset val="100"/>
        <c:noMultiLvlLbl val="0"/>
      </c:catAx>
      <c:valAx>
        <c:axId val="148014208"/>
        <c:scaling>
          <c:orientation val="minMax"/>
          <c:max val="1.2"/>
          <c:min val="0.6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% of GDP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48012032"/>
        <c:crosses val="autoZero"/>
        <c:crossBetween val="between"/>
      </c:valAx>
      <c:valAx>
        <c:axId val="1480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% of GDP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8371200"/>
        <c:crosses val="max"/>
        <c:crossBetween val="between"/>
      </c:valAx>
      <c:catAx>
        <c:axId val="21837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161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427108606637772E-3"/>
          <c:y val="0.84603431372548998"/>
          <c:w val="0.9764207448175708"/>
          <c:h val="0.147048474945534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1983440</xdr:colOff>
      <xdr:row>20</xdr:row>
      <xdr:rowOff>134469</xdr:rowOff>
    </xdr:from>
    <xdr:to>
      <xdr:col>11</xdr:col>
      <xdr:colOff>336176</xdr:colOff>
      <xdr:row>38</xdr:row>
      <xdr:rowOff>103342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0.2765</cdr:x>
      <cdr:y>0.04642</cdr:y>
    </cdr:from>
    <cdr:to>
      <cdr:x>0.92485</cdr:x>
      <cdr:y>0.76666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841501" y="170447"/>
          <a:ext cx="4318000" cy="26447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  <a:alpha val="17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0.26751</cdr:x>
      <cdr:y>0.04642</cdr:y>
    </cdr:from>
    <cdr:to>
      <cdr:x>0.48622</cdr:x>
      <cdr:y>0.12069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66334" y="158749"/>
          <a:ext cx="1280583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>
              <a:latin typeface="Arial" pitchFamily="34" charset="0"/>
              <a:cs typeface="Arial" pitchFamily="34" charset="0"/>
            </a:rPr>
            <a:t>Projections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3029</xdr:colOff>
      <xdr:row>1</xdr:row>
      <xdr:rowOff>12458</xdr:rowOff>
    </xdr:from>
    <xdr:to>
      <xdr:col>43</xdr:col>
      <xdr:colOff>359763</xdr:colOff>
      <xdr:row>3</xdr:row>
      <xdr:rowOff>188988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6386" y="202958"/>
          <a:ext cx="2506663" cy="9521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uerpo\Desktop\Carlos%20Cuerpo\Proyectos\Sostenibilidad%20de%20Deuda\AIREF\VAR%20Fiscal\VAR%20Fiscal_July2014\V10_07\Stoch_FVAR_29_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uerpo\Desktop\Carlos%20Cuerpo\Proyectos\Sostenibilidad%20de%20Deuda\AIREF\VAR%20Fiscal\VAR%20Fiscal_July2014\V10_07\Stoch_FVAR_29_09_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s"/>
      <sheetName val="TRIM_dsa"/>
      <sheetName val="be1105"/>
      <sheetName val="S.13"/>
      <sheetName val="BDREMS2011"/>
      <sheetName val="igae_int"/>
      <sheetName val="ANU_dsa"/>
      <sheetName val="ANU_dsa_noageing"/>
      <sheetName val="tablas"/>
      <sheetName val="tablas_noageing"/>
      <sheetName val="ANU_dsa_nomGDP"/>
      <sheetName val="ANU_dsafiscalfatigue"/>
      <sheetName val="ANU_dsafiscalfatigue_gdp"/>
      <sheetName val="ANU_dsafiscalfatigue_gdp_pi"/>
      <sheetName val="ANU_dsafiscalfatigue_gdp_pi_fin"/>
      <sheetName val="tablas_fiscalfatigue"/>
      <sheetName val="tablas_alternative"/>
      <sheetName val="tablas_alternative_i_2"/>
      <sheetName val="grafs (2)"/>
      <sheetName val="grafs_updated"/>
      <sheetName val="grafs_updated3009"/>
      <sheetName val="ANU_dsa_shocks"/>
      <sheetName val="estr_deuda"/>
      <sheetName val="fuentes--&gt;"/>
      <sheetName val="be1101"/>
      <sheetName val="be1112"/>
      <sheetName val="vcmtos"/>
      <sheetName val="3 y 4"/>
      <sheetName val="lt_int"/>
      <sheetName val="Hoja5"/>
      <sheetName val="escenarios"/>
      <sheetName val="Tabla1"/>
      <sheetName val="Tabl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6">
          <cell r="O36">
            <v>0.70475665351271644</v>
          </cell>
        </row>
      </sheetData>
      <sheetData sheetId="8"/>
      <sheetData sheetId="9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  <cell r="H5">
            <v>2016</v>
          </cell>
          <cell r="I5">
            <v>2017</v>
          </cell>
          <cell r="J5">
            <v>2018</v>
          </cell>
          <cell r="K5">
            <v>2019</v>
          </cell>
          <cell r="L5">
            <v>2020</v>
          </cell>
          <cell r="M5">
            <v>2021</v>
          </cell>
          <cell r="N5">
            <v>2022</v>
          </cell>
          <cell r="O5">
            <v>2023</v>
          </cell>
          <cell r="P5">
            <v>2024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s"/>
      <sheetName val="TRIM_dsa"/>
      <sheetName val="be1105"/>
      <sheetName val="S.13"/>
      <sheetName val="BDREMS2011"/>
      <sheetName val="igae_int"/>
      <sheetName val="ANU_dsa"/>
      <sheetName val="ANU_dsa_noageing"/>
      <sheetName val="tablas"/>
      <sheetName val="tablas_noageing"/>
      <sheetName val="ANU_dsa_nomGDP"/>
      <sheetName val="ANU_dsafiscalfatigue"/>
      <sheetName val="ANU_dsafiscalfatigue_gdp"/>
      <sheetName val="ANU_dsafiscalfatigue_gdp_pi"/>
      <sheetName val="ANU_dsafiscalfatigue_gdp_pi_fin"/>
      <sheetName val="tablas_fiscalfatigue"/>
      <sheetName val="tablas_alternative"/>
      <sheetName val="tablas_alternative_i_2"/>
      <sheetName val="grafs (2)"/>
      <sheetName val="grafs_updated"/>
      <sheetName val="grafs_updated3009"/>
      <sheetName val="ANU_dsa_shocks"/>
      <sheetName val="estr_deuda"/>
      <sheetName val="fuentes--&gt;"/>
      <sheetName val="be1101"/>
      <sheetName val="be1112"/>
      <sheetName val="vcmtos"/>
      <sheetName val="3 y 4"/>
      <sheetName val="lt_int"/>
      <sheetName val="Hoja5"/>
      <sheetName val="escenarios"/>
      <sheetName val="Tabla1"/>
      <sheetName val="Tabla2"/>
    </sheetNames>
    <sheetDataSet>
      <sheetData sheetId="0"/>
      <sheetData sheetId="1">
        <row r="48">
          <cell r="I48">
            <v>136774.64000000001</v>
          </cell>
        </row>
        <row r="52">
          <cell r="I52">
            <v>152671.6</v>
          </cell>
        </row>
        <row r="56">
          <cell r="I56">
            <v>174047.24799999999</v>
          </cell>
        </row>
        <row r="60">
          <cell r="I60">
            <v>225627.34400000001</v>
          </cell>
        </row>
        <row r="64">
          <cell r="I64">
            <v>248972.304</v>
          </cell>
        </row>
        <row r="68">
          <cell r="I68">
            <v>283076.35200000001</v>
          </cell>
          <cell r="L68">
            <v>-32171</v>
          </cell>
        </row>
        <row r="72">
          <cell r="I72">
            <v>319599.77600000001</v>
          </cell>
          <cell r="L72">
            <v>-26071</v>
          </cell>
        </row>
        <row r="76">
          <cell r="I76">
            <v>333199.26400000002</v>
          </cell>
          <cell r="L76">
            <v>-20176</v>
          </cell>
        </row>
        <row r="80">
          <cell r="I80">
            <v>345967.74400000001</v>
          </cell>
          <cell r="L80">
            <v>-16281</v>
          </cell>
        </row>
        <row r="84">
          <cell r="I84">
            <v>361775.16800000001</v>
          </cell>
          <cell r="L84">
            <v>-7619</v>
          </cell>
        </row>
        <row r="88">
          <cell r="C88">
            <v>78.386499999999998</v>
          </cell>
          <cell r="G88">
            <v>629907</v>
          </cell>
          <cell r="I88">
            <v>374033.18400000001</v>
          </cell>
          <cell r="L88">
            <v>-5950</v>
          </cell>
          <cell r="P88">
            <v>20417</v>
          </cell>
        </row>
        <row r="92">
          <cell r="C92">
            <v>81.262839999999997</v>
          </cell>
          <cell r="G92">
            <v>680397</v>
          </cell>
          <cell r="I92">
            <v>378246.739</v>
          </cell>
          <cell r="L92">
            <v>-3643</v>
          </cell>
          <cell r="P92">
            <v>20772</v>
          </cell>
        </row>
        <row r="96">
          <cell r="C96">
            <v>83.465209999999999</v>
          </cell>
          <cell r="G96">
            <v>729258</v>
          </cell>
          <cell r="I96">
            <v>383434.98499999999</v>
          </cell>
          <cell r="L96">
            <v>-2281</v>
          </cell>
          <cell r="P96">
            <v>19781</v>
          </cell>
        </row>
        <row r="100">
          <cell r="C100">
            <v>86.043819999999997</v>
          </cell>
          <cell r="G100">
            <v>783082</v>
          </cell>
          <cell r="I100">
            <v>382031.85600000003</v>
          </cell>
          <cell r="L100">
            <v>-2419</v>
          </cell>
          <cell r="P100">
            <v>18554</v>
          </cell>
        </row>
        <row r="104">
          <cell r="C104">
            <v>88.848247500000014</v>
          </cell>
          <cell r="G104">
            <v>841294</v>
          </cell>
          <cell r="I104">
            <v>389141.74599999998</v>
          </cell>
          <cell r="L104">
            <v>-490</v>
          </cell>
          <cell r="P104">
            <v>17069</v>
          </cell>
        </row>
        <row r="108">
          <cell r="C108">
            <v>92.032255000000006</v>
          </cell>
          <cell r="G108">
            <v>909298</v>
          </cell>
          <cell r="I108">
            <v>392497.12300000002</v>
          </cell>
          <cell r="L108">
            <v>11651</v>
          </cell>
          <cell r="P108">
            <v>16264</v>
          </cell>
        </row>
        <row r="112">
          <cell r="C112">
            <v>95.783692500000001</v>
          </cell>
          <cell r="G112">
            <v>985547</v>
          </cell>
          <cell r="I112">
            <v>391054.82699999999</v>
          </cell>
          <cell r="L112">
            <v>23230</v>
          </cell>
          <cell r="P112">
            <v>16156</v>
          </cell>
        </row>
        <row r="116">
          <cell r="C116">
            <v>99.116182499999994</v>
          </cell>
          <cell r="G116">
            <v>1053161</v>
          </cell>
          <cell r="I116">
            <v>382306.94900000002</v>
          </cell>
          <cell r="L116">
            <v>20748</v>
          </cell>
          <cell r="P116">
            <v>16931</v>
          </cell>
        </row>
        <row r="120">
          <cell r="C120">
            <v>100</v>
          </cell>
          <cell r="G120">
            <v>1087788</v>
          </cell>
          <cell r="I120">
            <v>436984.10499999998</v>
          </cell>
          <cell r="L120">
            <v>-49113</v>
          </cell>
          <cell r="P120">
            <v>17426</v>
          </cell>
        </row>
        <row r="124">
          <cell r="C124">
            <v>96.167637499999998</v>
          </cell>
          <cell r="G124">
            <v>1046894</v>
          </cell>
          <cell r="I124">
            <v>565082.53300000005</v>
          </cell>
          <cell r="L124">
            <v>-116429</v>
          </cell>
          <cell r="P124">
            <v>18565</v>
          </cell>
        </row>
        <row r="128">
          <cell r="C128">
            <v>95.974087499999996</v>
          </cell>
          <cell r="G128">
            <v>1045620</v>
          </cell>
          <cell r="I128">
            <v>644692.35699999996</v>
          </cell>
          <cell r="L128">
            <v>-100507.992</v>
          </cell>
          <cell r="P128">
            <v>20353</v>
          </cell>
        </row>
        <row r="132">
          <cell r="C132">
            <v>96.022365000000008</v>
          </cell>
          <cell r="G132">
            <v>1046327</v>
          </cell>
          <cell r="I132">
            <v>737405.91500000004</v>
          </cell>
          <cell r="L132">
            <v>-100072</v>
          </cell>
          <cell r="P132">
            <v>26351</v>
          </cell>
        </row>
        <row r="136">
          <cell r="C136">
            <v>94.446219999999997</v>
          </cell>
          <cell r="G136">
            <v>1029279</v>
          </cell>
          <cell r="I136">
            <v>884730.59900000005</v>
          </cell>
          <cell r="L136">
            <v>-109460.008</v>
          </cell>
          <cell r="P136">
            <v>31513</v>
          </cell>
        </row>
        <row r="140">
          <cell r="C140">
            <v>93.291437500000001</v>
          </cell>
          <cell r="G140">
            <v>1022988</v>
          </cell>
          <cell r="I140">
            <v>960676.174</v>
          </cell>
          <cell r="L140">
            <v>-72577</v>
          </cell>
          <cell r="P140">
            <v>35096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D11" sqref="D11"/>
    </sheetView>
  </sheetViews>
  <sheetFormatPr baseColWidth="10" defaultRowHeight="15" x14ac:dyDescent="0.3"/>
  <cols>
    <col min="1" max="16384" width="11.42578125" style="72"/>
  </cols>
  <sheetData>
    <row r="1" spans="2:12" ht="15.75" thickBot="1" x14ac:dyDescent="0.35"/>
    <row r="2" spans="2:12" ht="15.75" thickBot="1" x14ac:dyDescent="0.35">
      <c r="B2" s="134" t="s">
        <v>67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2:12" x14ac:dyDescent="0.3">
      <c r="B3" s="137" t="s">
        <v>68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5" customHeight="1" x14ac:dyDescent="0.3">
      <c r="B4" s="142" t="s">
        <v>69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x14ac:dyDescent="0.3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x14ac:dyDescent="0.3">
      <c r="B6" s="137" t="s">
        <v>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2" x14ac:dyDescent="0.3">
      <c r="B7" s="137" t="s">
        <v>71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2:12" x14ac:dyDescent="0.3">
      <c r="B8" s="139" t="s">
        <v>72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2:12" x14ac:dyDescent="0.3">
      <c r="B9" s="139" t="s">
        <v>73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2:12" x14ac:dyDescent="0.3">
      <c r="B10" s="137"/>
      <c r="C10" s="137" t="s">
        <v>33</v>
      </c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x14ac:dyDescent="0.3">
      <c r="B11" s="137"/>
      <c r="C11" s="140" t="s">
        <v>34</v>
      </c>
      <c r="D11" s="137"/>
      <c r="E11" s="137"/>
      <c r="F11" s="137"/>
      <c r="G11" s="137"/>
      <c r="H11" s="137"/>
      <c r="I11" s="137"/>
      <c r="J11" s="137"/>
      <c r="K11" s="137"/>
      <c r="L11" s="137"/>
    </row>
    <row r="12" spans="2:12" x14ac:dyDescent="0.3">
      <c r="B12" s="137"/>
      <c r="C12" s="140" t="s">
        <v>35</v>
      </c>
      <c r="D12" s="137"/>
      <c r="E12" s="137"/>
      <c r="F12" s="137"/>
      <c r="G12" s="137"/>
      <c r="H12" s="137"/>
      <c r="I12" s="137"/>
      <c r="J12" s="137"/>
      <c r="K12" s="137"/>
      <c r="L12" s="137"/>
    </row>
    <row r="13" spans="2:12" x14ac:dyDescent="0.3">
      <c r="B13" s="137"/>
      <c r="C13" s="137" t="s">
        <v>60</v>
      </c>
      <c r="D13" s="137"/>
      <c r="E13" s="137"/>
      <c r="F13" s="137"/>
      <c r="G13" s="137"/>
      <c r="H13" s="137"/>
      <c r="I13" s="137"/>
      <c r="J13" s="137"/>
      <c r="K13" s="137"/>
      <c r="L13" s="137"/>
    </row>
    <row r="14" spans="2:12" x14ac:dyDescent="0.3">
      <c r="B14" s="137"/>
      <c r="C14" s="137" t="s">
        <v>37</v>
      </c>
      <c r="D14" s="137"/>
      <c r="E14" s="137"/>
      <c r="F14" s="137"/>
      <c r="G14" s="137"/>
      <c r="H14" s="137"/>
      <c r="I14" s="137"/>
      <c r="J14" s="137"/>
      <c r="K14" s="137"/>
      <c r="L14" s="137"/>
    </row>
    <row r="15" spans="2:12" x14ac:dyDescent="0.3">
      <c r="B15" s="137"/>
      <c r="C15" s="137" t="s">
        <v>38</v>
      </c>
      <c r="D15" s="137"/>
      <c r="E15" s="137"/>
      <c r="F15" s="137"/>
      <c r="G15" s="137"/>
      <c r="H15" s="137"/>
      <c r="I15" s="137"/>
      <c r="J15" s="137"/>
      <c r="K15" s="137"/>
      <c r="L15" s="137"/>
    </row>
    <row r="16" spans="2:12" ht="18.75" customHeight="1" x14ac:dyDescent="0.3">
      <c r="B16" s="141"/>
      <c r="C16" s="138" t="s">
        <v>40</v>
      </c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x14ac:dyDescent="0.3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</sheetData>
  <sheetProtection password="CE65" sheet="1" objects="1" scenarios="1"/>
  <mergeCells count="3">
    <mergeCell ref="B2:L2"/>
    <mergeCell ref="B4:L5"/>
    <mergeCell ref="C16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152"/>
  <sheetViews>
    <sheetView showGridLines="0" topLeftCell="B1" zoomScale="85" zoomScaleNormal="85" zoomScalePageLayoutView="90" workbookViewId="0">
      <selection activeCell="E13" sqref="E13"/>
    </sheetView>
  </sheetViews>
  <sheetFormatPr baseColWidth="10" defaultRowHeight="15" x14ac:dyDescent="0.3"/>
  <cols>
    <col min="1" max="1" width="5.140625" hidden="1" customWidth="1"/>
    <col min="2" max="2" width="30.85546875" customWidth="1"/>
    <col min="3" max="4" width="10.28515625" customWidth="1"/>
    <col min="5" max="11" width="12.42578125" customWidth="1"/>
    <col min="12" max="17" width="11.42578125" customWidth="1"/>
  </cols>
  <sheetData>
    <row r="2" spans="2:18" ht="18.75" x14ac:dyDescent="0.3">
      <c r="C2" s="81" t="s">
        <v>52</v>
      </c>
      <c r="D2" s="81"/>
      <c r="E2" s="81"/>
      <c r="F2" s="81"/>
      <c r="G2" s="81"/>
      <c r="H2" s="81"/>
      <c r="I2" s="81"/>
      <c r="J2" s="81"/>
      <c r="K2" s="81"/>
    </row>
    <row r="3" spans="2:18" ht="18" x14ac:dyDescent="0.35">
      <c r="B3" s="4"/>
      <c r="C3" s="61"/>
      <c r="D3" s="61"/>
      <c r="E3" s="61"/>
      <c r="F3" s="6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8" ht="45" x14ac:dyDescent="0.3">
      <c r="E4" s="101" t="s">
        <v>46</v>
      </c>
      <c r="F4" s="101" t="s">
        <v>47</v>
      </c>
      <c r="G4" s="101" t="s">
        <v>48</v>
      </c>
      <c r="H4" s="101" t="s">
        <v>21</v>
      </c>
      <c r="I4" s="101" t="s">
        <v>49</v>
      </c>
      <c r="J4" s="101" t="s">
        <v>50</v>
      </c>
      <c r="K4" s="101" t="s">
        <v>51</v>
      </c>
      <c r="L4" s="71"/>
      <c r="M4" s="71"/>
      <c r="N4" s="71"/>
      <c r="O4" s="71"/>
      <c r="P4" s="71"/>
      <c r="Q4" s="71"/>
      <c r="R4" s="72"/>
    </row>
    <row r="5" spans="2:18" ht="18" hidden="1" x14ac:dyDescent="0.3">
      <c r="C5" s="78" t="s">
        <v>45</v>
      </c>
      <c r="D5" s="65">
        <v>2011</v>
      </c>
      <c r="E5" s="102">
        <v>5.0302640282984257E-4</v>
      </c>
      <c r="F5" s="103">
        <v>1.730404141402353E-4</v>
      </c>
      <c r="G5" s="103"/>
      <c r="H5" s="103">
        <v>4.0873758954769177E-2</v>
      </c>
      <c r="I5" s="103"/>
      <c r="J5" s="103"/>
      <c r="K5" s="104">
        <v>-7.0326408474597028E-3</v>
      </c>
      <c r="L5" s="71"/>
      <c r="M5" s="71"/>
      <c r="N5" s="71"/>
      <c r="O5" s="71"/>
      <c r="P5" s="71"/>
      <c r="Q5" s="71"/>
      <c r="R5" s="72"/>
    </row>
    <row r="6" spans="2:18" ht="18" hidden="1" x14ac:dyDescent="0.3">
      <c r="C6" s="79"/>
      <c r="D6" s="63">
        <v>2012</v>
      </c>
      <c r="E6" s="105">
        <v>-1.641435305202088E-2</v>
      </c>
      <c r="F6" s="106">
        <v>1.2318953746093264E-4</v>
      </c>
      <c r="G6" s="106"/>
      <c r="H6" s="106">
        <v>4.2734943345280871E-2</v>
      </c>
      <c r="I6" s="106"/>
      <c r="J6" s="106"/>
      <c r="K6" s="107">
        <v>3.6787572660085407E-2</v>
      </c>
      <c r="L6" s="71"/>
      <c r="M6" s="71"/>
      <c r="N6" s="71"/>
      <c r="O6" s="71"/>
      <c r="P6" s="71"/>
      <c r="Q6" s="71"/>
      <c r="R6" s="72"/>
    </row>
    <row r="7" spans="2:18" ht="18" hidden="1" x14ac:dyDescent="0.3">
      <c r="C7" s="80"/>
      <c r="D7" s="66">
        <v>2013</v>
      </c>
      <c r="E7" s="108">
        <v>-1.2226878958204956E-2</v>
      </c>
      <c r="F7" s="109">
        <v>6.1905243277617927E-3</v>
      </c>
      <c r="G7" s="109">
        <v>-9.484353352814251E-2</v>
      </c>
      <c r="H7" s="109">
        <v>3.9668572602404126E-2</v>
      </c>
      <c r="I7" s="109"/>
      <c r="J7" s="109"/>
      <c r="K7" s="110">
        <v>3.2928783133329524E-3</v>
      </c>
      <c r="L7" s="71"/>
      <c r="M7" s="71"/>
      <c r="N7" s="71"/>
      <c r="O7" s="71"/>
      <c r="P7" s="71"/>
      <c r="Q7" s="71"/>
      <c r="R7" s="72"/>
    </row>
    <row r="8" spans="2:18" ht="18" x14ac:dyDescent="0.3">
      <c r="C8" s="98" t="s">
        <v>42</v>
      </c>
      <c r="D8" s="95">
        <v>2014</v>
      </c>
      <c r="E8" s="143">
        <v>1.2361681748789283E-2</v>
      </c>
      <c r="F8" s="144">
        <v>4.8039164235111897E-3</v>
      </c>
      <c r="G8" s="144">
        <v>-8.3067928447544487E-2</v>
      </c>
      <c r="H8" s="144">
        <v>3.7984032009720281E-2</v>
      </c>
      <c r="I8" s="144">
        <v>-1.6817076184659724E-3</v>
      </c>
      <c r="J8" s="144">
        <v>2.2034559754262197E-2</v>
      </c>
      <c r="K8" s="144">
        <v>1.7000000000000001E-2</v>
      </c>
      <c r="L8" s="71"/>
      <c r="M8" s="71"/>
      <c r="N8" s="71"/>
      <c r="O8" s="71"/>
      <c r="P8" s="71"/>
      <c r="Q8" s="71"/>
      <c r="R8" s="72"/>
    </row>
    <row r="9" spans="2:18" ht="18" x14ac:dyDescent="0.3">
      <c r="C9" s="99"/>
      <c r="D9" s="96">
        <v>2015</v>
      </c>
      <c r="E9" s="145">
        <v>1.7532757530367104E-2</v>
      </c>
      <c r="F9" s="146">
        <v>8.1985618237974123E-3</v>
      </c>
      <c r="G9" s="146">
        <v>-6.7181525695811387E-2</v>
      </c>
      <c r="H9" s="146">
        <v>3.7295150401856811E-2</v>
      </c>
      <c r="I9" s="146">
        <v>0</v>
      </c>
      <c r="J9" s="146">
        <v>2.6479366397174547E-2</v>
      </c>
      <c r="K9" s="146">
        <v>5.5000000000000005E-3</v>
      </c>
      <c r="L9" s="71"/>
      <c r="M9" s="71"/>
      <c r="N9" s="71"/>
      <c r="O9" s="71"/>
      <c r="P9" s="71"/>
      <c r="Q9" s="71"/>
      <c r="R9" s="72"/>
    </row>
    <row r="10" spans="2:18" ht="18" x14ac:dyDescent="0.3">
      <c r="C10" s="99"/>
      <c r="D10" s="96">
        <v>2016</v>
      </c>
      <c r="E10" s="145">
        <v>2.2505225143711661E-2</v>
      </c>
      <c r="F10" s="146">
        <v>1.1507002981637315E-2</v>
      </c>
      <c r="G10" s="146">
        <v>-4.8040789404767636E-2</v>
      </c>
      <c r="H10" s="146">
        <v>3.7671502321061229E-2</v>
      </c>
      <c r="I10" s="146">
        <v>0</v>
      </c>
      <c r="J10" s="146">
        <v>3.2320406083239918E-2</v>
      </c>
      <c r="K10" s="146">
        <v>3.4999999999999996E-3</v>
      </c>
      <c r="L10" s="71"/>
      <c r="M10" s="71"/>
      <c r="N10" s="71"/>
      <c r="O10" s="71"/>
      <c r="P10" s="71"/>
      <c r="Q10" s="71"/>
      <c r="R10" s="72"/>
    </row>
    <row r="11" spans="2:18" ht="18" x14ac:dyDescent="0.3">
      <c r="C11" s="100"/>
      <c r="D11" s="97">
        <v>2017</v>
      </c>
      <c r="E11" s="147">
        <v>2.9524535771844645E-2</v>
      </c>
      <c r="F11" s="148">
        <v>1.5220052977158227E-2</v>
      </c>
      <c r="G11" s="148">
        <v>-2.4458949712441325E-2</v>
      </c>
      <c r="H11" s="148">
        <v>3.8718846208228928E-2</v>
      </c>
      <c r="I11" s="148">
        <v>0</v>
      </c>
      <c r="J11" s="148">
        <v>3.8382965463358995E-2</v>
      </c>
      <c r="K11" s="148">
        <v>3.4999999999999996E-3</v>
      </c>
      <c r="L11" s="71"/>
      <c r="M11" s="71"/>
      <c r="N11" s="71"/>
      <c r="O11" s="71"/>
      <c r="P11" s="71"/>
      <c r="Q11" s="71"/>
      <c r="R11" s="72"/>
    </row>
    <row r="12" spans="2:18" ht="18" x14ac:dyDescent="0.3">
      <c r="C12" s="99" t="s">
        <v>44</v>
      </c>
      <c r="D12" s="96">
        <v>2018</v>
      </c>
      <c r="E12" s="145">
        <v>1.5845089664227485E-2</v>
      </c>
      <c r="F12" s="146">
        <v>1.6813368651438818E-2</v>
      </c>
      <c r="G12" s="146">
        <v>-1.6305966474960881E-2</v>
      </c>
      <c r="H12" s="146">
        <v>3.9340046928277604E-2</v>
      </c>
      <c r="I12" s="146">
        <v>0</v>
      </c>
      <c r="J12" s="146">
        <v>3.8382965463358995E-2</v>
      </c>
      <c r="K12" s="146">
        <v>0</v>
      </c>
      <c r="L12" s="71"/>
      <c r="M12" s="71"/>
      <c r="N12" s="71"/>
      <c r="O12" s="71"/>
      <c r="P12" s="71"/>
      <c r="Q12" s="71"/>
      <c r="R12" s="72"/>
    </row>
    <row r="13" spans="2:18" ht="18" x14ac:dyDescent="0.3">
      <c r="C13" s="99"/>
      <c r="D13" s="96">
        <v>2019</v>
      </c>
      <c r="E13" s="145">
        <v>2.1637210889516645E-2</v>
      </c>
      <c r="F13" s="146">
        <v>1.8406684325719409E-2</v>
      </c>
      <c r="G13" s="146">
        <v>-8.1529832374804389E-3</v>
      </c>
      <c r="H13" s="146">
        <v>4.0315916081567177E-2</v>
      </c>
      <c r="I13" s="146">
        <v>0</v>
      </c>
      <c r="J13" s="146">
        <v>3.8382965463358995E-2</v>
      </c>
      <c r="K13" s="146">
        <v>0</v>
      </c>
      <c r="L13" s="71"/>
      <c r="M13" s="71"/>
      <c r="N13" s="71"/>
      <c r="O13" s="71"/>
      <c r="P13" s="71"/>
      <c r="Q13" s="71"/>
      <c r="R13" s="72"/>
    </row>
    <row r="14" spans="2:18" ht="18" x14ac:dyDescent="0.3">
      <c r="C14" s="99"/>
      <c r="D14" s="96">
        <v>2020</v>
      </c>
      <c r="E14" s="145">
        <v>2.5137783282024539E-2</v>
      </c>
      <c r="F14" s="146">
        <v>0.02</v>
      </c>
      <c r="G14" s="146">
        <v>0</v>
      </c>
      <c r="H14" s="146">
        <v>4.1096955424477527E-2</v>
      </c>
      <c r="I14" s="146">
        <v>0</v>
      </c>
      <c r="J14" s="146">
        <v>3.8382965463358995E-2</v>
      </c>
      <c r="K14" s="146">
        <v>0</v>
      </c>
      <c r="L14" s="71"/>
      <c r="M14" s="71"/>
      <c r="N14" s="71"/>
      <c r="O14" s="71"/>
      <c r="P14" s="71"/>
      <c r="Q14" s="71"/>
      <c r="R14" s="72"/>
    </row>
    <row r="15" spans="2:18" ht="18" x14ac:dyDescent="0.3">
      <c r="C15" s="99"/>
      <c r="D15" s="96">
        <v>2021</v>
      </c>
      <c r="E15" s="145">
        <v>1.9240662378474216E-2</v>
      </c>
      <c r="F15" s="146">
        <v>0.02</v>
      </c>
      <c r="G15" s="146">
        <v>0</v>
      </c>
      <c r="H15" s="146">
        <v>4.1931659923200464E-2</v>
      </c>
      <c r="I15" s="146">
        <v>0</v>
      </c>
      <c r="J15" s="146">
        <v>3.8382965463358995E-2</v>
      </c>
      <c r="K15" s="146">
        <v>0</v>
      </c>
      <c r="L15" s="71"/>
      <c r="M15" s="71"/>
      <c r="N15" s="71"/>
      <c r="O15" s="71"/>
      <c r="P15" s="71"/>
      <c r="Q15" s="71"/>
      <c r="R15" s="72"/>
    </row>
    <row r="16" spans="2:18" ht="18" x14ac:dyDescent="0.3">
      <c r="C16" s="99"/>
      <c r="D16" s="96">
        <v>2022</v>
      </c>
      <c r="E16" s="145">
        <v>2.1047090066819818E-2</v>
      </c>
      <c r="F16" s="146">
        <v>0.02</v>
      </c>
      <c r="G16" s="146">
        <v>0</v>
      </c>
      <c r="H16" s="146">
        <v>4.2766501944409265E-2</v>
      </c>
      <c r="I16" s="146">
        <v>0</v>
      </c>
      <c r="J16" s="146">
        <v>3.8382965463358995E-2</v>
      </c>
      <c r="K16" s="146">
        <v>0</v>
      </c>
      <c r="L16" s="71"/>
      <c r="M16" s="71"/>
      <c r="N16" s="71"/>
      <c r="O16" s="71"/>
      <c r="P16" s="71"/>
      <c r="Q16" s="71"/>
      <c r="R16" s="72"/>
    </row>
    <row r="17" spans="2:18" ht="18" x14ac:dyDescent="0.3">
      <c r="C17" s="99"/>
      <c r="D17" s="96">
        <v>2023</v>
      </c>
      <c r="E17" s="145">
        <v>2.1863560363458268E-2</v>
      </c>
      <c r="F17" s="146">
        <v>0.02</v>
      </c>
      <c r="G17" s="146">
        <v>0</v>
      </c>
      <c r="H17" s="146">
        <v>4.3782179225738911E-2</v>
      </c>
      <c r="I17" s="146">
        <v>0</v>
      </c>
      <c r="J17" s="146">
        <v>3.8382965463358995E-2</v>
      </c>
      <c r="K17" s="146">
        <v>0</v>
      </c>
      <c r="L17" s="71"/>
      <c r="M17" s="71"/>
      <c r="N17" s="71"/>
      <c r="O17" s="71"/>
      <c r="P17" s="71"/>
      <c r="Q17" s="71"/>
      <c r="R17" s="72"/>
    </row>
    <row r="18" spans="2:18" ht="18" x14ac:dyDescent="0.3">
      <c r="C18" s="100"/>
      <c r="D18" s="97">
        <v>2024</v>
      </c>
      <c r="E18" s="147">
        <v>1.473843226415017E-2</v>
      </c>
      <c r="F18" s="148">
        <v>0.02</v>
      </c>
      <c r="G18" s="148">
        <v>0</v>
      </c>
      <c r="H18" s="148">
        <v>4.4730216074344645E-2</v>
      </c>
      <c r="I18" s="148">
        <v>0</v>
      </c>
      <c r="J18" s="148">
        <v>3.8382965463358995E-2</v>
      </c>
      <c r="K18" s="148">
        <v>0</v>
      </c>
      <c r="L18" s="71"/>
      <c r="M18" s="71"/>
      <c r="N18" s="71"/>
      <c r="O18" s="71"/>
      <c r="P18" s="71"/>
      <c r="Q18" s="71"/>
      <c r="R18" s="72"/>
    </row>
    <row r="19" spans="2:18" s="72" customFormat="1" ht="18" x14ac:dyDescent="0.3">
      <c r="C19" s="62"/>
      <c r="D19" s="64"/>
      <c r="E19" s="69"/>
      <c r="F19" s="69"/>
      <c r="G19" s="69"/>
      <c r="H19" s="69"/>
      <c r="I19" s="69"/>
      <c r="J19" s="69"/>
      <c r="K19" s="69"/>
      <c r="L19" s="71"/>
      <c r="M19" s="71"/>
      <c r="N19" s="71"/>
      <c r="O19" s="71"/>
      <c r="P19" s="71"/>
      <c r="Q19" s="71"/>
    </row>
    <row r="20" spans="2:18" s="72" customFormat="1" ht="18.75" x14ac:dyDescent="0.3">
      <c r="C20" s="81" t="s">
        <v>53</v>
      </c>
      <c r="D20" s="81"/>
      <c r="E20" s="81"/>
      <c r="F20" s="81"/>
      <c r="G20" s="81"/>
      <c r="H20" s="81"/>
      <c r="I20" s="81"/>
      <c r="J20" s="81"/>
      <c r="K20" s="81"/>
      <c r="L20" s="71"/>
      <c r="M20" s="71"/>
      <c r="N20" s="71"/>
      <c r="O20" s="71"/>
      <c r="P20" s="71"/>
      <c r="Q20" s="71"/>
    </row>
    <row r="21" spans="2:18" ht="18" x14ac:dyDescent="0.35">
      <c r="B21" s="4"/>
      <c r="C21" s="61"/>
      <c r="D21" s="6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</row>
    <row r="22" spans="2:18" ht="18" x14ac:dyDescent="0.35">
      <c r="B22" s="4"/>
      <c r="C22" s="61"/>
      <c r="D22" s="6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3" spans="2:18" ht="18" x14ac:dyDescent="0.35">
      <c r="B23" s="4"/>
      <c r="C23" s="61"/>
      <c r="D23" s="6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</row>
    <row r="24" spans="2:18" x14ac:dyDescent="0.3">
      <c r="Q24" s="71"/>
      <c r="R24" s="72"/>
    </row>
    <row r="25" spans="2:18" x14ac:dyDescent="0.3">
      <c r="Q25" s="71"/>
      <c r="R25" s="72"/>
    </row>
    <row r="33" spans="1:16" ht="24.75" customHeight="1" x14ac:dyDescent="0.3"/>
    <row r="42" spans="1:16" ht="18.75" x14ac:dyDescent="0.3">
      <c r="B42" s="1" t="s">
        <v>53</v>
      </c>
    </row>
    <row r="44" spans="1:16" ht="18" x14ac:dyDescent="0.3">
      <c r="C44" s="73">
        <v>2011</v>
      </c>
      <c r="D44" s="73">
        <v>2012</v>
      </c>
      <c r="E44" s="73">
        <v>2013</v>
      </c>
      <c r="F44" s="73">
        <v>2014</v>
      </c>
      <c r="G44" s="73">
        <v>2015</v>
      </c>
      <c r="H44" s="73">
        <v>2016</v>
      </c>
      <c r="I44" s="73">
        <v>2017</v>
      </c>
      <c r="J44" s="73">
        <v>2018</v>
      </c>
      <c r="K44" s="73">
        <v>2019</v>
      </c>
      <c r="L44" s="73">
        <v>2020</v>
      </c>
      <c r="M44" s="73">
        <v>2021</v>
      </c>
      <c r="N44" s="73">
        <v>2022</v>
      </c>
      <c r="O44" s="73">
        <v>2023</v>
      </c>
      <c r="P44" s="73">
        <v>2024</v>
      </c>
    </row>
    <row r="45" spans="1:16" ht="18" x14ac:dyDescent="0.35">
      <c r="B45" s="74" t="s">
        <v>54</v>
      </c>
      <c r="C45" s="2">
        <f>data!$M$36</f>
        <v>0.70475665351271644</v>
      </c>
      <c r="D45" s="2">
        <f>data!$M$37</f>
        <v>0.8595634410106493</v>
      </c>
      <c r="E45" s="2">
        <f>data!$M$38</f>
        <v>0.93908840963921369</v>
      </c>
      <c r="F45" s="3">
        <f>data!$M$39</f>
        <v>0.99477263805161531</v>
      </c>
      <c r="G45" s="3">
        <f>data!$M$40</f>
        <v>1.0171142580394705</v>
      </c>
      <c r="H45" s="3">
        <f>data!$M$41</f>
        <v>1.0146973316189574</v>
      </c>
      <c r="I45" s="3">
        <f>data!$M$42</f>
        <v>0.98526848487450169</v>
      </c>
      <c r="J45" s="3">
        <f>data!$M$43</f>
        <v>0.96083158343343289</v>
      </c>
      <c r="K45" s="3">
        <f>data!$M$44</f>
        <v>0.92624546151897691</v>
      </c>
      <c r="L45" s="3">
        <f>data!$M$45</f>
        <v>0.88383771558792468</v>
      </c>
      <c r="M45" s="3">
        <f>data!$M$46</f>
        <v>0.84741535296540726</v>
      </c>
      <c r="N45" s="3">
        <f>data!$M$47</f>
        <v>0.81008891871022115</v>
      </c>
      <c r="O45" s="3">
        <f>data!$M$48</f>
        <v>0.7728572747115815</v>
      </c>
      <c r="P45" s="3">
        <f>data!$M$49</f>
        <v>0.74171505158055095</v>
      </c>
    </row>
    <row r="46" spans="1:16" ht="18" x14ac:dyDescent="0.35">
      <c r="A46" s="133" t="s">
        <v>61</v>
      </c>
      <c r="B46" s="4" t="s">
        <v>55</v>
      </c>
      <c r="C46" s="2">
        <f>data!$N$36</f>
        <v>8.8191977052817006E-2</v>
      </c>
      <c r="D46" s="2">
        <f>data!$N$37</f>
        <v>0.15480678749793286</v>
      </c>
      <c r="E46" s="2">
        <f>data!$N$38</f>
        <v>7.9524968628564396E-2</v>
      </c>
      <c r="F46" s="3">
        <f>data!$N$39</f>
        <v>5.5684228412401615E-2</v>
      </c>
      <c r="G46" s="3">
        <f>data!$N$40</f>
        <v>2.2341619987855221E-2</v>
      </c>
      <c r="H46" s="3">
        <f>data!$N$41</f>
        <v>-2.4169264205131658E-3</v>
      </c>
      <c r="I46" s="3">
        <f>data!$N$42</f>
        <v>-2.9428846744455672E-2</v>
      </c>
      <c r="J46" s="3">
        <f>data!$N$43</f>
        <v>-2.4436901441068803E-2</v>
      </c>
      <c r="K46" s="3">
        <f>data!$N$44</f>
        <v>-3.4586121914455981E-2</v>
      </c>
      <c r="L46" s="3">
        <f>data!$N$45</f>
        <v>-4.2407745931052232E-2</v>
      </c>
      <c r="M46" s="3">
        <f>data!$N$46</f>
        <v>-3.6422362622517412E-2</v>
      </c>
      <c r="N46" s="3">
        <f>data!$N$47</f>
        <v>-3.7326434255186114E-2</v>
      </c>
      <c r="O46" s="3">
        <f>data!$N$48</f>
        <v>-3.7231643998639652E-2</v>
      </c>
      <c r="P46" s="3">
        <f>data!$N$49</f>
        <v>-3.1142223131030544E-2</v>
      </c>
    </row>
    <row r="47" spans="1:16" ht="18" x14ac:dyDescent="0.35">
      <c r="B47" s="75" t="s">
        <v>56</v>
      </c>
      <c r="C47" s="2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8" x14ac:dyDescent="0.35">
      <c r="A48" s="133" t="s">
        <v>62</v>
      </c>
      <c r="B48" s="75" t="s">
        <v>57</v>
      </c>
      <c r="C48" s="2">
        <f>data!$AJ$36</f>
        <v>7.0456941281262939E-2</v>
      </c>
      <c r="D48" s="2">
        <f>data!$AJ$37</f>
        <v>7.57297175984354E-2</v>
      </c>
      <c r="E48" s="2">
        <f>data!$AJ$38</f>
        <v>3.6638748450617209E-2</v>
      </c>
      <c r="F48" s="3">
        <f>data!$AJ$39</f>
        <v>1.9519753519025136E-2</v>
      </c>
      <c r="G48" s="3">
        <f>data!$AJ$40</f>
        <v>5.767765936814921E-3</v>
      </c>
      <c r="H48" s="3">
        <f>data!$AJ$41</f>
        <v>-9.2608271689514528E-3</v>
      </c>
      <c r="I48" s="3">
        <f>data!$AJ$42</f>
        <v>-2.664266960138716E-2</v>
      </c>
      <c r="J48" s="3">
        <f>data!$AJ$43</f>
        <v>-3.0556101555377777E-2</v>
      </c>
      <c r="K48" s="3">
        <f>data!$AJ$44</f>
        <v>-3.4469533509368384E-2</v>
      </c>
      <c r="L48" s="3">
        <f>data!$AJ$45</f>
        <v>-3.8382965463359002E-2</v>
      </c>
      <c r="M48" s="3">
        <f>data!$AJ$46</f>
        <v>-3.8382965463359002E-2</v>
      </c>
      <c r="N48" s="3">
        <f>data!$AJ$47</f>
        <v>-3.8382965463358995E-2</v>
      </c>
      <c r="O48" s="3">
        <f>data!$AJ$48</f>
        <v>-3.8382965463358995E-2</v>
      </c>
      <c r="P48" s="3">
        <f>data!$AJ$49</f>
        <v>-3.8382965463358995E-2</v>
      </c>
    </row>
    <row r="49" spans="1:16" ht="18" x14ac:dyDescent="0.35">
      <c r="A49" s="133"/>
      <c r="B49" s="75" t="s">
        <v>58</v>
      </c>
      <c r="C49" s="2">
        <f>data!$AF$36</f>
        <v>2.4767676619013773E-2</v>
      </c>
      <c r="D49" s="2">
        <f>data!$AF$37</f>
        <v>4.228949723941202E-2</v>
      </c>
      <c r="E49" s="2">
        <f>data!$AF$38</f>
        <v>3.9593341864614176E-2</v>
      </c>
      <c r="F49" s="3">
        <f>data!$AF$39</f>
        <v>1.9164474893376606E-2</v>
      </c>
      <c r="G49" s="3">
        <f>data!$AF$40</f>
        <v>1.1073854051040133E-2</v>
      </c>
      <c r="H49" s="3">
        <f>data!$AF$41</f>
        <v>3.3439007484384773E-3</v>
      </c>
      <c r="I49" s="3">
        <f>data!$AF$42</f>
        <v>-6.2861771430686433E-3</v>
      </c>
      <c r="J49" s="3">
        <f>data!$AF$43</f>
        <v>6.119200114308939E-3</v>
      </c>
      <c r="K49" s="3">
        <f>data!$AF$44</f>
        <v>-1.1658840508755117E-4</v>
      </c>
      <c r="L49" s="3">
        <f>data!$AF$45</f>
        <v>-4.0247804676933029E-3</v>
      </c>
      <c r="M49" s="3">
        <f>data!$AF$46</f>
        <v>1.9606028408416694E-3</v>
      </c>
      <c r="N49" s="3">
        <f>data!$AF$47</f>
        <v>1.0565312081728196E-3</v>
      </c>
      <c r="O49" s="3">
        <f>data!$AF$48</f>
        <v>1.1513214647193462E-3</v>
      </c>
      <c r="P49" s="3">
        <f>data!$AF$49</f>
        <v>7.24074233232845E-3</v>
      </c>
    </row>
    <row r="50" spans="1:16" ht="18" x14ac:dyDescent="0.35">
      <c r="A50" s="133" t="s">
        <v>63</v>
      </c>
      <c r="B50" s="76" t="s">
        <v>0</v>
      </c>
      <c r="C50" s="2">
        <f>data!$AG$36</f>
        <v>2.5184287512412466E-2</v>
      </c>
      <c r="D50" s="2">
        <f>data!$AG$37</f>
        <v>3.0616577235132555E-2</v>
      </c>
      <c r="E50" s="2">
        <f>data!$AG$38</f>
        <v>3.4307342803630146E-2</v>
      </c>
      <c r="F50" s="3">
        <f>data!$AG$39</f>
        <v>3.506634699285225E-2</v>
      </c>
      <c r="G50" s="3">
        <f>data!$AG$40</f>
        <v>3.6164438047951629E-2</v>
      </c>
      <c r="H50" s="3">
        <f>data!$AG$41</f>
        <v>3.704659115272721E-2</v>
      </c>
      <c r="I50" s="3">
        <f>data!$AG$42</f>
        <v>3.7589109456657901E-2</v>
      </c>
      <c r="J50" s="3">
        <f>data!$AG$43</f>
        <v>3.7525002684966002E-2</v>
      </c>
      <c r="K50" s="3">
        <f>data!$AG$44</f>
        <v>3.7231099245076976E-2</v>
      </c>
      <c r="L50" s="3">
        <f>data!$AG$45</f>
        <v>3.6404354102873231E-2</v>
      </c>
      <c r="M50" s="3">
        <f>data!$AG$46</f>
        <v>3.5648205422259292E-2</v>
      </c>
      <c r="N50" s="3">
        <f>data!$AG$47</f>
        <v>3.479798633406854E-2</v>
      </c>
      <c r="O50" s="3">
        <f>data!$AG$48</f>
        <v>3.4028043683230265E-2</v>
      </c>
      <c r="P50" s="3">
        <f>data!$AG$49</f>
        <v>3.3399965201215902E-2</v>
      </c>
    </row>
    <row r="51" spans="1:16" ht="18" x14ac:dyDescent="0.35">
      <c r="A51" s="133" t="s">
        <v>64</v>
      </c>
      <c r="B51" s="76" t="s">
        <v>1</v>
      </c>
      <c r="C51" s="2">
        <f>data!$AH$36</f>
        <v>-3.0996556099688213E-4</v>
      </c>
      <c r="D51" s="2">
        <f>data!$AH$37</f>
        <v>1.1760452294340539E-2</v>
      </c>
      <c r="E51" s="2">
        <f>data!$AH$38</f>
        <v>1.0607139990212865E-2</v>
      </c>
      <c r="F51" s="3">
        <f>data!$AH$39</f>
        <v>-1.1439549650828476E-2</v>
      </c>
      <c r="G51" s="3">
        <f>data!$AH$40</f>
        <v>-1.7070893031303269E-2</v>
      </c>
      <c r="H51" s="3">
        <f>data!$AH$41</f>
        <v>-2.2259234650947146E-2</v>
      </c>
      <c r="I51" s="3">
        <f>data!$AH$42</f>
        <v>-2.8881196919703239E-2</v>
      </c>
      <c r="J51" s="3">
        <f>data!$AH$43</f>
        <v>-1.524109868934854E-2</v>
      </c>
      <c r="K51" s="3">
        <f>data!$AH$44</f>
        <v>-2.0165513453365654E-2</v>
      </c>
      <c r="L51" s="3">
        <f>data!$AH$45</f>
        <v>-2.2490133443053215E-2</v>
      </c>
      <c r="M51" s="3">
        <f>data!$AH$46</f>
        <v>-1.6521025808333704E-2</v>
      </c>
      <c r="N51" s="3">
        <f>data!$AH$47</f>
        <v>-1.729672249097703E-2</v>
      </c>
      <c r="O51" s="3">
        <f>data!$AH$48</f>
        <v>-1.7162552030944619E-2</v>
      </c>
      <c r="P51" s="3">
        <f>data!$AH$49</f>
        <v>-1.1115210245445003E-2</v>
      </c>
    </row>
    <row r="52" spans="1:16" ht="18" x14ac:dyDescent="0.35">
      <c r="A52" s="133" t="s">
        <v>65</v>
      </c>
      <c r="B52" s="76" t="s">
        <v>2</v>
      </c>
      <c r="C52" s="2">
        <f>data!$AI$36</f>
        <v>-1.066453324017314E-4</v>
      </c>
      <c r="D52" s="2">
        <f>data!$AI$37</f>
        <v>-8.7532290061070948E-5</v>
      </c>
      <c r="E52" s="2">
        <f>data!$AI$38</f>
        <v>-5.321140929228938E-3</v>
      </c>
      <c r="F52" s="3">
        <f>data!$AI$39</f>
        <v>-4.4623224486471007E-3</v>
      </c>
      <c r="G52" s="3">
        <f>data!$AI$40</f>
        <v>-8.019690965608171E-3</v>
      </c>
      <c r="H52" s="3">
        <f>data!$AI$41</f>
        <v>-1.1443455753341618E-2</v>
      </c>
      <c r="I52" s="3">
        <f>data!$AI$42</f>
        <v>-1.4994089680023366E-2</v>
      </c>
      <c r="J52" s="3">
        <f>data!$AI$43</f>
        <v>-1.616470388130839E-2</v>
      </c>
      <c r="K52" s="3">
        <f>data!$AI$44</f>
        <v>-1.7182174196798846E-2</v>
      </c>
      <c r="L52" s="3">
        <f>data!$AI$45</f>
        <v>-1.7939001127513288E-2</v>
      </c>
      <c r="M52" s="3">
        <f>data!$AI$46</f>
        <v>-1.716657677308394E-2</v>
      </c>
      <c r="N52" s="3">
        <f>data!$AI$47</f>
        <v>-1.6444732634918715E-2</v>
      </c>
      <c r="O52" s="3">
        <f>data!$AI$48</f>
        <v>-1.571417018756633E-2</v>
      </c>
      <c r="P52" s="3">
        <f>data!$AI$49</f>
        <v>-1.5044012623442446E-2</v>
      </c>
    </row>
    <row r="53" spans="1:16" ht="44.25" customHeight="1" x14ac:dyDescent="0.35">
      <c r="A53" s="133" t="s">
        <v>66</v>
      </c>
      <c r="B53" s="77" t="s">
        <v>59</v>
      </c>
      <c r="C53" s="2">
        <f>data!$AK$36</f>
        <v>-7.0326408474597028E-3</v>
      </c>
      <c r="D53" s="2">
        <f>data!$AK$37</f>
        <v>3.6787572660085407E-2</v>
      </c>
      <c r="E53" s="2">
        <f>data!$AK$38</f>
        <v>3.2928783133329524E-3</v>
      </c>
      <c r="F53" s="3">
        <f>data!$AK$39</f>
        <v>1.7000000000000001E-2</v>
      </c>
      <c r="G53" s="3">
        <f>data!$AK$40</f>
        <v>5.5000000000000005E-3</v>
      </c>
      <c r="H53" s="3">
        <f>data!$AK$41</f>
        <v>3.4999999999999996E-3</v>
      </c>
      <c r="I53" s="3">
        <f>data!$AK$42</f>
        <v>3.4999999999999996E-3</v>
      </c>
      <c r="J53" s="3">
        <f>data!$AK$43</f>
        <v>0</v>
      </c>
      <c r="K53" s="3">
        <f>data!$AK$44</f>
        <v>0</v>
      </c>
      <c r="L53" s="3">
        <f>data!$AK$45</f>
        <v>0</v>
      </c>
      <c r="M53" s="3">
        <f>data!$AK$46</f>
        <v>0</v>
      </c>
      <c r="N53" s="3">
        <f>data!$AK$47</f>
        <v>0</v>
      </c>
      <c r="O53" s="3">
        <f>data!$AK$48</f>
        <v>0</v>
      </c>
      <c r="P53" s="3">
        <f>data!$AK$49</f>
        <v>0</v>
      </c>
    </row>
    <row r="54" spans="1:16" x14ac:dyDescent="0.3">
      <c r="C54" s="7"/>
      <c r="D54" s="7"/>
    </row>
    <row r="55" spans="1:16" x14ac:dyDescent="0.3">
      <c r="C55" s="7"/>
      <c r="D55" s="7"/>
    </row>
    <row r="56" spans="1:16" x14ac:dyDescent="0.3">
      <c r="C56" s="7"/>
      <c r="D56" s="7"/>
    </row>
    <row r="57" spans="1:16" x14ac:dyDescent="0.3">
      <c r="C57" s="7"/>
      <c r="D57" s="7"/>
    </row>
    <row r="58" spans="1:16" x14ac:dyDescent="0.3">
      <c r="C58" s="7"/>
      <c r="D58" s="7"/>
    </row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  <row r="75" ht="17.25" customHeight="1" x14ac:dyDescent="0.3"/>
    <row r="76" ht="17.25" customHeight="1" x14ac:dyDescent="0.3"/>
    <row r="77" ht="17.25" customHeight="1" x14ac:dyDescent="0.3"/>
    <row r="113" spans="2:18" x14ac:dyDescent="0.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2:18" ht="18" x14ac:dyDescent="0.3"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9"/>
      <c r="P114" s="9"/>
      <c r="Q114" s="9"/>
      <c r="R114" s="9"/>
    </row>
    <row r="115" spans="2:18" ht="18" x14ac:dyDescent="0.35"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9"/>
      <c r="P115" s="9"/>
      <c r="Q115" s="9"/>
      <c r="R115" s="9"/>
    </row>
    <row r="116" spans="2:18" ht="18" x14ac:dyDescent="0.35"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9"/>
      <c r="P116" s="9"/>
      <c r="Q116" s="9"/>
      <c r="R116" s="9"/>
    </row>
    <row r="117" spans="2:18" ht="18" x14ac:dyDescent="0.35"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9"/>
      <c r="P117" s="9"/>
      <c r="Q117" s="9"/>
      <c r="R117" s="9"/>
    </row>
    <row r="118" spans="2:18" ht="18" x14ac:dyDescent="0.35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9"/>
      <c r="P118" s="9"/>
      <c r="Q118" s="9"/>
      <c r="R118" s="9"/>
    </row>
    <row r="119" spans="2:18" ht="18" x14ac:dyDescent="0.3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9"/>
      <c r="P119" s="9"/>
      <c r="Q119" s="9"/>
      <c r="R119" s="9"/>
    </row>
    <row r="120" spans="2:18" ht="18" x14ac:dyDescent="0.35"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9"/>
      <c r="P120" s="9"/>
      <c r="Q120" s="9"/>
      <c r="R120" s="9"/>
    </row>
    <row r="121" spans="2:18" ht="18" x14ac:dyDescent="0.35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9"/>
      <c r="P121" s="9"/>
      <c r="Q121" s="9"/>
      <c r="R121" s="9"/>
    </row>
    <row r="122" spans="2:18" ht="18" x14ac:dyDescent="0.35"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9"/>
      <c r="P122" s="9"/>
      <c r="Q122" s="9"/>
      <c r="R122" s="9"/>
    </row>
    <row r="123" spans="2:18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2:18" x14ac:dyDescent="0.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2:18" x14ac:dyDescent="0.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2:18" x14ac:dyDescent="0.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2:18" x14ac:dyDescent="0.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2:18" x14ac:dyDescent="0.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2:18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2:18" x14ac:dyDescent="0.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2:18" x14ac:dyDescent="0.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2:18" x14ac:dyDescent="0.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2:18" x14ac:dyDescent="0.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2:18" x14ac:dyDescent="0.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2:18" x14ac:dyDescent="0.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2:18" x14ac:dyDescent="0.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2:18" x14ac:dyDescent="0.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2:18" x14ac:dyDescent="0.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2:18" ht="18" x14ac:dyDescent="0.3"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9"/>
    </row>
    <row r="140" spans="2:18" ht="18" x14ac:dyDescent="0.35"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9"/>
    </row>
    <row r="141" spans="2:18" ht="18" x14ac:dyDescent="0.35">
      <c r="B141" s="11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9"/>
    </row>
    <row r="142" spans="2:18" ht="18" x14ac:dyDescent="0.35">
      <c r="B142" s="17"/>
      <c r="C142" s="15"/>
      <c r="D142" s="15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9"/>
    </row>
    <row r="143" spans="2:18" ht="18" x14ac:dyDescent="0.35">
      <c r="B143" s="17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9"/>
    </row>
    <row r="144" spans="2:18" ht="18" x14ac:dyDescent="0.35">
      <c r="B144" s="17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9"/>
    </row>
    <row r="145" spans="2:18" ht="18" x14ac:dyDescent="0.35">
      <c r="B145" s="19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9"/>
    </row>
    <row r="146" spans="2:18" ht="18" x14ac:dyDescent="0.35">
      <c r="B146" s="19"/>
      <c r="C146" s="20"/>
      <c r="D146" s="20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9"/>
    </row>
    <row r="147" spans="2:18" ht="18" x14ac:dyDescent="0.35">
      <c r="B147" s="19"/>
      <c r="C147" s="20"/>
      <c r="D147" s="20"/>
      <c r="E147" s="21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9"/>
    </row>
    <row r="148" spans="2:18" ht="18" x14ac:dyDescent="0.35">
      <c r="B148" s="22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9"/>
    </row>
    <row r="149" spans="2:18" x14ac:dyDescent="0.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2:18" x14ac:dyDescent="0.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2:18" x14ac:dyDescent="0.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2:18" x14ac:dyDescent="0.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</sheetData>
  <sheetProtection password="CE65" sheet="1" objects="1" scenarios="1"/>
  <mergeCells count="5">
    <mergeCell ref="C2:K2"/>
    <mergeCell ref="C8:C11"/>
    <mergeCell ref="C12:C18"/>
    <mergeCell ref="C5:C7"/>
    <mergeCell ref="C20:K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2:BD102"/>
  <sheetViews>
    <sheetView showGridLines="0" zoomScale="70" zoomScaleNormal="70" zoomScalePageLayoutView="90" workbookViewId="0">
      <pane xSplit="3" ySplit="4" topLeftCell="R25" activePane="bottomRight" state="frozen"/>
      <selection activeCell="X151" sqref="X151"/>
      <selection pane="topRight" activeCell="X151" sqref="X151"/>
      <selection pane="bottomLeft" activeCell="X151" sqref="X151"/>
      <selection pane="bottomRight" activeCell="AM30" sqref="AM26:AM30"/>
    </sheetView>
  </sheetViews>
  <sheetFormatPr baseColWidth="10" defaultColWidth="10.85546875" defaultRowHeight="15" x14ac:dyDescent="0.3"/>
  <cols>
    <col min="1" max="1" width="1.42578125" style="24" customWidth="1"/>
    <col min="2" max="2" width="8.85546875" style="24" customWidth="1"/>
    <col min="3" max="3" width="8.42578125" style="23" customWidth="1"/>
    <col min="4" max="7" width="10" style="24" customWidth="1"/>
    <col min="8" max="8" width="12.28515625" style="24" customWidth="1"/>
    <col min="9" max="10" width="10" style="24" customWidth="1"/>
    <col min="11" max="11" width="2.7109375" style="24" customWidth="1"/>
    <col min="12" max="14" width="11" style="24" customWidth="1"/>
    <col min="15" max="15" width="2.7109375" style="24" customWidth="1"/>
    <col min="16" max="24" width="11" style="24" customWidth="1"/>
    <col min="25" max="26" width="11.85546875" style="24" customWidth="1"/>
    <col min="27" max="27" width="11" style="24" customWidth="1"/>
    <col min="28" max="28" width="2.7109375" style="24" customWidth="1"/>
    <col min="29" max="30" width="11.85546875" style="24" customWidth="1"/>
    <col min="31" max="31" width="3.28515625" style="24" customWidth="1"/>
    <col min="32" max="32" width="11" style="24" customWidth="1"/>
    <col min="33" max="33" width="11.42578125" style="24" customWidth="1"/>
    <col min="34" max="38" width="11" style="24" customWidth="1"/>
    <col min="39" max="39" width="6.85546875" style="25" customWidth="1"/>
    <col min="40" max="55" width="6.28515625" style="24" customWidth="1"/>
    <col min="56" max="56" width="6.85546875" style="24" bestFit="1" customWidth="1"/>
    <col min="57" max="16384" width="10.85546875" style="24"/>
  </cols>
  <sheetData>
    <row r="2" spans="3:39" ht="24" customHeight="1" x14ac:dyDescent="0.3">
      <c r="D2" s="8" t="s">
        <v>5</v>
      </c>
      <c r="E2" s="8"/>
      <c r="F2" s="8"/>
      <c r="G2" s="8"/>
      <c r="H2" s="8"/>
      <c r="I2" s="8"/>
      <c r="J2" s="8"/>
      <c r="L2" s="8" t="s">
        <v>6</v>
      </c>
      <c r="M2" s="8"/>
      <c r="N2" s="8"/>
      <c r="P2" s="8" t="s">
        <v>7</v>
      </c>
      <c r="Q2" s="8"/>
      <c r="R2" s="8"/>
      <c r="S2" s="8"/>
      <c r="T2" s="8"/>
      <c r="U2" s="8"/>
      <c r="V2" s="8"/>
      <c r="W2" s="8"/>
      <c r="X2" s="8"/>
      <c r="Y2" s="8" t="s">
        <v>8</v>
      </c>
      <c r="Z2" s="8"/>
      <c r="AA2" s="8"/>
      <c r="AC2" s="8" t="s">
        <v>9</v>
      </c>
      <c r="AD2" s="8"/>
      <c r="AF2" s="8" t="s">
        <v>10</v>
      </c>
      <c r="AG2" s="8"/>
      <c r="AH2" s="8"/>
      <c r="AI2" s="8"/>
      <c r="AJ2" s="8"/>
      <c r="AK2" s="8"/>
      <c r="AL2" s="8"/>
    </row>
    <row r="3" spans="3:39" ht="37.5" customHeight="1" x14ac:dyDescent="0.3">
      <c r="D3" s="85" t="s">
        <v>11</v>
      </c>
      <c r="E3" s="86"/>
      <c r="F3" s="85" t="s">
        <v>12</v>
      </c>
      <c r="G3" s="86"/>
      <c r="H3" s="85" t="s">
        <v>13</v>
      </c>
      <c r="I3" s="86"/>
      <c r="J3" s="26" t="s">
        <v>14</v>
      </c>
      <c r="K3" s="27"/>
      <c r="L3" s="87" t="s">
        <v>6</v>
      </c>
      <c r="M3" s="88"/>
      <c r="N3" s="28" t="s">
        <v>15</v>
      </c>
      <c r="P3" s="89" t="s">
        <v>16</v>
      </c>
      <c r="Q3" s="90"/>
      <c r="R3" s="29" t="s">
        <v>17</v>
      </c>
      <c r="S3" s="29" t="s">
        <v>18</v>
      </c>
      <c r="T3" s="29" t="s">
        <v>19</v>
      </c>
      <c r="U3" s="89" t="s">
        <v>3</v>
      </c>
      <c r="V3" s="90"/>
      <c r="W3" s="29" t="s">
        <v>4</v>
      </c>
      <c r="X3" s="29" t="s">
        <v>20</v>
      </c>
      <c r="Y3" s="93" t="s">
        <v>0</v>
      </c>
      <c r="Z3" s="94"/>
      <c r="AA3" s="70" t="s">
        <v>21</v>
      </c>
      <c r="AC3" s="82" t="s">
        <v>9</v>
      </c>
      <c r="AD3" s="83"/>
      <c r="AF3" s="26" t="s">
        <v>22</v>
      </c>
      <c r="AG3" s="30" t="s">
        <v>0</v>
      </c>
      <c r="AH3" s="31" t="s">
        <v>1</v>
      </c>
      <c r="AI3" s="32" t="s">
        <v>2</v>
      </c>
      <c r="AJ3" s="26" t="s">
        <v>23</v>
      </c>
      <c r="AK3" s="26" t="s">
        <v>9</v>
      </c>
      <c r="AL3" s="33" t="s">
        <v>24</v>
      </c>
      <c r="AM3" s="24"/>
    </row>
    <row r="4" spans="3:39" x14ac:dyDescent="0.3">
      <c r="D4" s="67" t="s">
        <v>25</v>
      </c>
      <c r="E4" s="67" t="s">
        <v>26</v>
      </c>
      <c r="F4" s="67" t="s">
        <v>25</v>
      </c>
      <c r="G4" s="67" t="s">
        <v>26</v>
      </c>
      <c r="H4" s="67" t="s">
        <v>27</v>
      </c>
      <c r="I4" s="67" t="s">
        <v>26</v>
      </c>
      <c r="J4" s="67" t="s">
        <v>28</v>
      </c>
      <c r="L4" s="68" t="s">
        <v>27</v>
      </c>
      <c r="M4" s="68" t="s">
        <v>29</v>
      </c>
      <c r="N4" s="35" t="s">
        <v>29</v>
      </c>
      <c r="P4" s="67" t="s">
        <v>27</v>
      </c>
      <c r="Q4" s="67" t="s">
        <v>29</v>
      </c>
      <c r="R4" s="67" t="s">
        <v>29</v>
      </c>
      <c r="S4" s="67" t="s">
        <v>29</v>
      </c>
      <c r="T4" s="67" t="s">
        <v>29</v>
      </c>
      <c r="U4" s="67" t="s">
        <v>27</v>
      </c>
      <c r="V4" s="67" t="s">
        <v>29</v>
      </c>
      <c r="W4" s="67" t="s">
        <v>29</v>
      </c>
      <c r="X4" s="36" t="s">
        <v>29</v>
      </c>
      <c r="Y4" s="67" t="s">
        <v>27</v>
      </c>
      <c r="Z4" s="67" t="s">
        <v>29</v>
      </c>
      <c r="AA4" s="67" t="s">
        <v>30</v>
      </c>
      <c r="AC4" s="68" t="s">
        <v>27</v>
      </c>
      <c r="AD4" s="68" t="s">
        <v>29</v>
      </c>
      <c r="AF4" s="34" t="s">
        <v>29</v>
      </c>
      <c r="AG4" s="37" t="s">
        <v>29</v>
      </c>
      <c r="AH4" s="37" t="s">
        <v>29</v>
      </c>
      <c r="AI4" s="37" t="s">
        <v>29</v>
      </c>
      <c r="AJ4" s="34" t="s">
        <v>29</v>
      </c>
      <c r="AK4" s="34" t="s">
        <v>29</v>
      </c>
      <c r="AL4" s="38" t="s">
        <v>29</v>
      </c>
      <c r="AM4" s="24"/>
    </row>
    <row r="5" spans="3:39" ht="15.75" hidden="1" x14ac:dyDescent="0.35">
      <c r="C5" s="40">
        <v>1980</v>
      </c>
      <c r="D5" s="41"/>
      <c r="E5" s="42"/>
      <c r="F5" s="41"/>
      <c r="G5" s="42"/>
      <c r="H5" s="43"/>
      <c r="I5" s="42"/>
      <c r="J5" s="42"/>
      <c r="L5" s="44"/>
      <c r="M5" s="42"/>
      <c r="N5" s="42"/>
      <c r="P5" s="44"/>
      <c r="Q5" s="42"/>
      <c r="R5" s="45" t="s">
        <v>31</v>
      </c>
      <c r="S5" s="45" t="s">
        <v>31</v>
      </c>
      <c r="T5" s="45" t="s">
        <v>31</v>
      </c>
      <c r="U5" s="46"/>
      <c r="V5" s="42"/>
      <c r="W5" s="47"/>
      <c r="X5" s="47"/>
      <c r="Y5" s="44"/>
      <c r="Z5" s="44"/>
      <c r="AA5" s="42"/>
      <c r="AC5" s="46"/>
      <c r="AD5" s="42"/>
      <c r="AF5" s="42"/>
      <c r="AG5" s="42"/>
      <c r="AH5" s="42"/>
      <c r="AI5" s="42"/>
      <c r="AJ5" s="42"/>
      <c r="AK5" s="42"/>
      <c r="AL5" s="42"/>
      <c r="AM5" s="24"/>
    </row>
    <row r="6" spans="3:39" ht="15.75" hidden="1" x14ac:dyDescent="0.35">
      <c r="C6" s="40">
        <v>1981</v>
      </c>
      <c r="D6" s="41"/>
      <c r="E6" s="42"/>
      <c r="F6" s="41"/>
      <c r="G6" s="42"/>
      <c r="H6" s="43"/>
      <c r="I6" s="42"/>
      <c r="J6" s="42"/>
      <c r="L6" s="44"/>
      <c r="M6" s="42"/>
      <c r="N6" s="42"/>
      <c r="P6" s="44"/>
      <c r="Q6" s="42"/>
      <c r="R6" s="45" t="s">
        <v>31</v>
      </c>
      <c r="S6" s="45" t="s">
        <v>31</v>
      </c>
      <c r="T6" s="45" t="s">
        <v>31</v>
      </c>
      <c r="U6" s="46"/>
      <c r="V6" s="42"/>
      <c r="W6" s="47"/>
      <c r="X6" s="47"/>
      <c r="Y6" s="44"/>
      <c r="Z6" s="44"/>
      <c r="AA6" s="42"/>
      <c r="AC6" s="46"/>
      <c r="AD6" s="42"/>
      <c r="AF6" s="42"/>
      <c r="AG6" s="42"/>
      <c r="AH6" s="42"/>
      <c r="AI6" s="42"/>
      <c r="AJ6" s="42"/>
      <c r="AK6" s="42"/>
      <c r="AL6" s="42"/>
      <c r="AM6" s="24"/>
    </row>
    <row r="7" spans="3:39" ht="15.75" hidden="1" x14ac:dyDescent="0.35">
      <c r="C7" s="40">
        <v>1982</v>
      </c>
      <c r="D7" s="41"/>
      <c r="E7" s="42"/>
      <c r="F7" s="41"/>
      <c r="G7" s="42"/>
      <c r="H7" s="43"/>
      <c r="I7" s="42"/>
      <c r="J7" s="42"/>
      <c r="L7" s="44"/>
      <c r="M7" s="42"/>
      <c r="N7" s="42"/>
      <c r="P7" s="44"/>
      <c r="Q7" s="42"/>
      <c r="R7" s="45" t="s">
        <v>31</v>
      </c>
      <c r="S7" s="45" t="s">
        <v>31</v>
      </c>
      <c r="T7" s="45" t="s">
        <v>31</v>
      </c>
      <c r="U7" s="46"/>
      <c r="V7" s="42"/>
      <c r="W7" s="47"/>
      <c r="X7" s="47"/>
      <c r="Y7" s="44"/>
      <c r="Z7" s="44"/>
      <c r="AA7" s="42"/>
      <c r="AC7" s="46"/>
      <c r="AD7" s="42"/>
      <c r="AF7" s="42"/>
      <c r="AG7" s="42"/>
      <c r="AH7" s="42"/>
      <c r="AI7" s="42"/>
      <c r="AJ7" s="42"/>
      <c r="AK7" s="42"/>
      <c r="AL7" s="42"/>
      <c r="AM7" s="24"/>
    </row>
    <row r="8" spans="3:39" ht="15.75" hidden="1" x14ac:dyDescent="0.35">
      <c r="C8" s="40">
        <v>1983</v>
      </c>
      <c r="D8" s="41"/>
      <c r="E8" s="42"/>
      <c r="F8" s="41"/>
      <c r="G8" s="42"/>
      <c r="H8" s="43"/>
      <c r="I8" s="42"/>
      <c r="J8" s="48"/>
      <c r="L8" s="44"/>
      <c r="M8" s="42"/>
      <c r="N8" s="42"/>
      <c r="P8" s="44"/>
      <c r="Q8" s="42"/>
      <c r="R8" s="45" t="s">
        <v>31</v>
      </c>
      <c r="S8" s="45" t="s">
        <v>31</v>
      </c>
      <c r="T8" s="45" t="s">
        <v>31</v>
      </c>
      <c r="U8" s="46"/>
      <c r="V8" s="42"/>
      <c r="W8" s="47"/>
      <c r="X8" s="47"/>
      <c r="Y8" s="44"/>
      <c r="Z8" s="44"/>
      <c r="AA8" s="42"/>
      <c r="AC8" s="46"/>
      <c r="AD8" s="42"/>
      <c r="AF8" s="42"/>
      <c r="AG8" s="42"/>
      <c r="AH8" s="42"/>
      <c r="AI8" s="42"/>
      <c r="AJ8" s="42"/>
      <c r="AK8" s="42"/>
      <c r="AL8" s="42"/>
      <c r="AM8" s="24"/>
    </row>
    <row r="9" spans="3:39" ht="15.75" hidden="1" x14ac:dyDescent="0.35">
      <c r="C9" s="40">
        <v>1984</v>
      </c>
      <c r="D9" s="41"/>
      <c r="E9" s="42"/>
      <c r="F9" s="41"/>
      <c r="G9" s="42"/>
      <c r="H9" s="43"/>
      <c r="I9" s="42"/>
      <c r="J9" s="48"/>
      <c r="L9" s="44"/>
      <c r="M9" s="42"/>
      <c r="N9" s="42"/>
      <c r="P9" s="44"/>
      <c r="Q9" s="42"/>
      <c r="R9" s="45" t="s">
        <v>31</v>
      </c>
      <c r="S9" s="45" t="s">
        <v>31</v>
      </c>
      <c r="T9" s="45" t="s">
        <v>31</v>
      </c>
      <c r="U9" s="46"/>
      <c r="V9" s="42"/>
      <c r="W9" s="47"/>
      <c r="X9" s="47"/>
      <c r="Y9" s="44"/>
      <c r="Z9" s="44"/>
      <c r="AA9" s="42"/>
      <c r="AC9" s="46"/>
      <c r="AD9" s="42"/>
      <c r="AF9" s="42"/>
      <c r="AG9" s="42"/>
      <c r="AH9" s="42"/>
      <c r="AI9" s="42"/>
      <c r="AJ9" s="42"/>
      <c r="AK9" s="42"/>
      <c r="AL9" s="42"/>
      <c r="AM9" s="24"/>
    </row>
    <row r="10" spans="3:39" ht="15.75" hidden="1" x14ac:dyDescent="0.35">
      <c r="C10" s="40">
        <v>1985</v>
      </c>
      <c r="D10" s="41"/>
      <c r="E10" s="42"/>
      <c r="F10" s="41"/>
      <c r="G10" s="42"/>
      <c r="H10" s="43"/>
      <c r="I10" s="42"/>
      <c r="J10" s="48"/>
      <c r="L10" s="44"/>
      <c r="M10" s="42"/>
      <c r="N10" s="42"/>
      <c r="P10" s="44"/>
      <c r="Q10" s="42"/>
      <c r="R10" s="45" t="s">
        <v>31</v>
      </c>
      <c r="S10" s="45" t="s">
        <v>31</v>
      </c>
      <c r="T10" s="45" t="s">
        <v>31</v>
      </c>
      <c r="U10" s="46"/>
      <c r="V10" s="42"/>
      <c r="W10" s="47"/>
      <c r="X10" s="47"/>
      <c r="Y10" s="44"/>
      <c r="Z10" s="44"/>
      <c r="AA10" s="42"/>
      <c r="AC10" s="46"/>
      <c r="AD10" s="42"/>
      <c r="AF10" s="42"/>
      <c r="AG10" s="42"/>
      <c r="AH10" s="42"/>
      <c r="AI10" s="42"/>
      <c r="AJ10" s="42"/>
      <c r="AK10" s="42"/>
      <c r="AL10" s="42"/>
      <c r="AM10" s="24"/>
    </row>
    <row r="11" spans="3:39" ht="15.75" hidden="1" x14ac:dyDescent="0.35">
      <c r="C11" s="40">
        <v>1986</v>
      </c>
      <c r="D11" s="41"/>
      <c r="E11" s="42"/>
      <c r="F11" s="41"/>
      <c r="G11" s="42"/>
      <c r="H11" s="43"/>
      <c r="I11" s="42"/>
      <c r="J11" s="48"/>
      <c r="L11" s="44"/>
      <c r="M11" s="42"/>
      <c r="N11" s="42"/>
      <c r="P11" s="44"/>
      <c r="Q11" s="42"/>
      <c r="R11" s="45" t="s">
        <v>31</v>
      </c>
      <c r="S11" s="45" t="s">
        <v>31</v>
      </c>
      <c r="T11" s="45" t="s">
        <v>31</v>
      </c>
      <c r="U11" s="46"/>
      <c r="V11" s="42"/>
      <c r="W11" s="47"/>
      <c r="X11" s="47"/>
      <c r="Y11" s="44"/>
      <c r="Z11" s="44"/>
      <c r="AA11" s="42"/>
      <c r="AC11" s="46"/>
      <c r="AD11" s="42"/>
      <c r="AF11" s="42"/>
      <c r="AG11" s="42"/>
      <c r="AH11" s="42"/>
      <c r="AI11" s="42"/>
      <c r="AJ11" s="42"/>
      <c r="AK11" s="42"/>
      <c r="AL11" s="42"/>
      <c r="AM11" s="24"/>
    </row>
    <row r="12" spans="3:39" ht="15.75" hidden="1" x14ac:dyDescent="0.35">
      <c r="C12" s="40">
        <v>1987</v>
      </c>
      <c r="D12" s="41"/>
      <c r="E12" s="42"/>
      <c r="F12" s="41"/>
      <c r="G12" s="42"/>
      <c r="H12" s="43"/>
      <c r="I12" s="42"/>
      <c r="J12" s="48"/>
      <c r="L12" s="44"/>
      <c r="M12" s="42"/>
      <c r="N12" s="42"/>
      <c r="P12" s="44"/>
      <c r="Q12" s="42"/>
      <c r="R12" s="45" t="s">
        <v>31</v>
      </c>
      <c r="S12" s="45" t="s">
        <v>31</v>
      </c>
      <c r="T12" s="45" t="s">
        <v>31</v>
      </c>
      <c r="U12" s="46"/>
      <c r="V12" s="42"/>
      <c r="W12" s="47"/>
      <c r="X12" s="47"/>
      <c r="Y12" s="44"/>
      <c r="Z12" s="44"/>
      <c r="AA12" s="42"/>
      <c r="AC12" s="46"/>
      <c r="AD12" s="42"/>
      <c r="AF12" s="42"/>
      <c r="AG12" s="42"/>
      <c r="AH12" s="42"/>
      <c r="AI12" s="42"/>
      <c r="AJ12" s="42"/>
      <c r="AK12" s="42"/>
      <c r="AL12" s="42"/>
      <c r="AM12" s="24"/>
    </row>
    <row r="13" spans="3:39" ht="15.75" hidden="1" x14ac:dyDescent="0.35">
      <c r="C13" s="40">
        <v>1988</v>
      </c>
      <c r="D13" s="41"/>
      <c r="E13" s="42"/>
      <c r="F13" s="41"/>
      <c r="G13" s="42"/>
      <c r="H13" s="43"/>
      <c r="I13" s="42"/>
      <c r="J13" s="48"/>
      <c r="L13" s="44"/>
      <c r="M13" s="42"/>
      <c r="N13" s="42"/>
      <c r="P13" s="44"/>
      <c r="Q13" s="42"/>
      <c r="R13" s="45" t="s">
        <v>31</v>
      </c>
      <c r="S13" s="45" t="s">
        <v>31</v>
      </c>
      <c r="T13" s="45" t="s">
        <v>31</v>
      </c>
      <c r="U13" s="46"/>
      <c r="V13" s="42"/>
      <c r="W13" s="47"/>
      <c r="X13" s="47"/>
      <c r="Y13" s="44"/>
      <c r="Z13" s="44"/>
      <c r="AA13" s="42"/>
      <c r="AC13" s="46"/>
      <c r="AD13" s="42"/>
      <c r="AF13" s="42"/>
      <c r="AG13" s="42"/>
      <c r="AH13" s="42"/>
      <c r="AI13" s="42"/>
      <c r="AJ13" s="42"/>
      <c r="AK13" s="42"/>
      <c r="AL13" s="42"/>
      <c r="AM13" s="24"/>
    </row>
    <row r="14" spans="3:39" ht="15.75" hidden="1" x14ac:dyDescent="0.35">
      <c r="C14" s="40">
        <v>1989</v>
      </c>
      <c r="D14" s="41"/>
      <c r="E14" s="42"/>
      <c r="F14" s="41"/>
      <c r="G14" s="42"/>
      <c r="H14" s="43"/>
      <c r="I14" s="42"/>
      <c r="J14" s="48"/>
      <c r="L14" s="44"/>
      <c r="M14" s="42"/>
      <c r="N14" s="42"/>
      <c r="P14" s="44"/>
      <c r="Q14" s="42"/>
      <c r="R14" s="45" t="s">
        <v>31</v>
      </c>
      <c r="S14" s="45" t="s">
        <v>31</v>
      </c>
      <c r="T14" s="45" t="s">
        <v>31</v>
      </c>
      <c r="U14" s="46"/>
      <c r="V14" s="42"/>
      <c r="W14" s="47"/>
      <c r="X14" s="47"/>
      <c r="Y14" s="44"/>
      <c r="Z14" s="44"/>
      <c r="AA14" s="42"/>
      <c r="AC14" s="46"/>
      <c r="AD14" s="42"/>
      <c r="AF14" s="42"/>
      <c r="AG14" s="42"/>
      <c r="AH14" s="42"/>
      <c r="AI14" s="42"/>
      <c r="AJ14" s="42"/>
      <c r="AK14" s="42"/>
      <c r="AL14" s="42"/>
      <c r="AM14" s="24"/>
    </row>
    <row r="15" spans="3:39" ht="15.75" hidden="1" x14ac:dyDescent="0.35">
      <c r="C15" s="40">
        <v>1990</v>
      </c>
      <c r="D15" s="41"/>
      <c r="E15" s="42"/>
      <c r="F15" s="41"/>
      <c r="G15" s="42"/>
      <c r="H15" s="43"/>
      <c r="I15" s="42"/>
      <c r="J15" s="48"/>
      <c r="L15" s="44">
        <f>[2]TRIM_dsa!I48</f>
        <v>136774.64000000001</v>
      </c>
      <c r="M15" s="42"/>
      <c r="N15" s="42"/>
      <c r="P15" s="44"/>
      <c r="Q15" s="42"/>
      <c r="R15" s="45" t="s">
        <v>31</v>
      </c>
      <c r="S15" s="45" t="s">
        <v>31</v>
      </c>
      <c r="T15" s="45" t="s">
        <v>31</v>
      </c>
      <c r="U15" s="46"/>
      <c r="V15" s="42"/>
      <c r="W15" s="47"/>
      <c r="X15" s="47"/>
      <c r="Y15" s="44"/>
      <c r="Z15" s="44"/>
      <c r="AA15" s="42"/>
      <c r="AC15" s="46"/>
      <c r="AD15" s="42"/>
      <c r="AF15" s="42"/>
      <c r="AG15" s="42"/>
      <c r="AH15" s="42"/>
      <c r="AI15" s="42"/>
      <c r="AJ15" s="42"/>
      <c r="AK15" s="42"/>
      <c r="AL15" s="42"/>
      <c r="AM15" s="24"/>
    </row>
    <row r="16" spans="3:39" ht="15.75" hidden="1" x14ac:dyDescent="0.35">
      <c r="C16" s="40">
        <v>1991</v>
      </c>
      <c r="D16" s="41"/>
      <c r="E16" s="42"/>
      <c r="F16" s="41"/>
      <c r="G16" s="42"/>
      <c r="H16" s="43"/>
      <c r="I16" s="42"/>
      <c r="J16" s="48"/>
      <c r="L16" s="44">
        <f>[2]TRIM_dsa!I52</f>
        <v>152671.6</v>
      </c>
      <c r="M16" s="42"/>
      <c r="N16" s="42"/>
      <c r="P16" s="44"/>
      <c r="Q16" s="42"/>
      <c r="R16" s="45" t="s">
        <v>31</v>
      </c>
      <c r="S16" s="45" t="s">
        <v>31</v>
      </c>
      <c r="T16" s="45" t="s">
        <v>31</v>
      </c>
      <c r="U16" s="46"/>
      <c r="V16" s="42"/>
      <c r="W16" s="47"/>
      <c r="X16" s="47"/>
      <c r="Y16" s="44"/>
      <c r="Z16" s="44"/>
      <c r="AA16" s="42"/>
      <c r="AC16" s="46"/>
      <c r="AD16" s="42"/>
      <c r="AF16" s="42"/>
      <c r="AG16" s="42"/>
      <c r="AH16" s="42"/>
      <c r="AI16" s="42"/>
      <c r="AJ16" s="42"/>
      <c r="AK16" s="42"/>
      <c r="AL16" s="42"/>
      <c r="AM16" s="24"/>
    </row>
    <row r="17" spans="1:46" ht="15.75" hidden="1" x14ac:dyDescent="0.35">
      <c r="C17" s="40">
        <v>1992</v>
      </c>
      <c r="D17" s="41"/>
      <c r="E17" s="42"/>
      <c r="F17" s="41"/>
      <c r="G17" s="42"/>
      <c r="H17" s="43"/>
      <c r="I17" s="42"/>
      <c r="J17" s="48"/>
      <c r="L17" s="44">
        <f>[2]TRIM_dsa!I56</f>
        <v>174047.24799999999</v>
      </c>
      <c r="M17" s="42"/>
      <c r="N17" s="42"/>
      <c r="P17" s="44"/>
      <c r="Q17" s="42"/>
      <c r="R17" s="45" t="s">
        <v>31</v>
      </c>
      <c r="S17" s="45" t="s">
        <v>31</v>
      </c>
      <c r="T17" s="45" t="s">
        <v>31</v>
      </c>
      <c r="U17" s="46"/>
      <c r="V17" s="42"/>
      <c r="W17" s="47"/>
      <c r="X17" s="47"/>
      <c r="Y17" s="44"/>
      <c r="Z17" s="44"/>
      <c r="AA17" s="42"/>
      <c r="AC17" s="46"/>
      <c r="AD17" s="42"/>
      <c r="AF17" s="42"/>
      <c r="AG17" s="42"/>
      <c r="AH17" s="42"/>
      <c r="AI17" s="42"/>
      <c r="AJ17" s="42"/>
      <c r="AK17" s="42"/>
      <c r="AL17" s="42"/>
      <c r="AM17" s="24"/>
    </row>
    <row r="18" spans="1:46" ht="15.75" hidden="1" x14ac:dyDescent="0.35">
      <c r="C18" s="40">
        <v>1993</v>
      </c>
      <c r="D18" s="41"/>
      <c r="E18" s="42"/>
      <c r="F18" s="41"/>
      <c r="G18" s="42"/>
      <c r="H18" s="43"/>
      <c r="I18" s="42"/>
      <c r="J18" s="48"/>
      <c r="L18" s="44">
        <f>[2]TRIM_dsa!I60</f>
        <v>225627.34400000001</v>
      </c>
      <c r="M18" s="42"/>
      <c r="N18" s="42"/>
      <c r="P18" s="44"/>
      <c r="Q18" s="42"/>
      <c r="R18" s="45" t="s">
        <v>31</v>
      </c>
      <c r="S18" s="45" t="s">
        <v>31</v>
      </c>
      <c r="T18" s="45" t="s">
        <v>31</v>
      </c>
      <c r="U18" s="46"/>
      <c r="V18" s="42"/>
      <c r="W18" s="47"/>
      <c r="X18" s="47"/>
      <c r="Y18" s="44"/>
      <c r="Z18" s="44"/>
      <c r="AA18" s="42"/>
      <c r="AC18" s="46"/>
      <c r="AD18" s="42"/>
      <c r="AF18" s="42"/>
      <c r="AG18" s="42"/>
      <c r="AH18" s="42"/>
      <c r="AI18" s="42"/>
      <c r="AJ18" s="42"/>
      <c r="AK18" s="42"/>
      <c r="AL18" s="42"/>
      <c r="AM18" s="24"/>
    </row>
    <row r="19" spans="1:46" ht="15.75" hidden="1" x14ac:dyDescent="0.35">
      <c r="C19" s="40">
        <v>1994</v>
      </c>
      <c r="D19" s="41"/>
      <c r="E19" s="42"/>
      <c r="F19" s="41"/>
      <c r="G19" s="42"/>
      <c r="H19" s="43"/>
      <c r="I19" s="42"/>
      <c r="J19" s="48"/>
      <c r="L19" s="44">
        <f>[2]TRIM_dsa!I64</f>
        <v>248972.304</v>
      </c>
      <c r="M19" s="42"/>
      <c r="N19" s="42"/>
      <c r="P19" s="44"/>
      <c r="Q19" s="42"/>
      <c r="R19" s="45" t="s">
        <v>31</v>
      </c>
      <c r="S19" s="45" t="s">
        <v>31</v>
      </c>
      <c r="T19" s="45" t="s">
        <v>31</v>
      </c>
      <c r="U19" s="46"/>
      <c r="V19" s="42"/>
      <c r="W19" s="47"/>
      <c r="X19" s="47"/>
      <c r="Y19" s="44"/>
      <c r="Z19" s="44"/>
      <c r="AA19" s="42"/>
      <c r="AC19" s="46"/>
      <c r="AD19" s="42"/>
      <c r="AF19" s="42"/>
      <c r="AG19" s="42"/>
      <c r="AH19" s="42"/>
      <c r="AI19" s="42"/>
      <c r="AJ19" s="42"/>
      <c r="AK19" s="42"/>
      <c r="AL19" s="42"/>
      <c r="AM19" s="24"/>
    </row>
    <row r="20" spans="1:46" ht="15.75" hidden="1" x14ac:dyDescent="0.35">
      <c r="C20" s="40">
        <v>1995</v>
      </c>
      <c r="D20" s="41"/>
      <c r="E20" s="42"/>
      <c r="F20" s="41"/>
      <c r="G20" s="42"/>
      <c r="H20" s="43"/>
      <c r="I20" s="42"/>
      <c r="J20" s="48"/>
      <c r="L20" s="44">
        <f>[2]TRIM_dsa!I68</f>
        <v>283076.35200000001</v>
      </c>
      <c r="M20" s="42"/>
      <c r="N20" s="42"/>
      <c r="P20" s="44">
        <f>[2]TRIM_dsa!L68</f>
        <v>-32171</v>
      </c>
      <c r="Q20" s="42"/>
      <c r="R20" s="45" t="s">
        <v>31</v>
      </c>
      <c r="S20" s="45" t="s">
        <v>31</v>
      </c>
      <c r="T20" s="45" t="s">
        <v>31</v>
      </c>
      <c r="U20" s="46"/>
      <c r="V20" s="42"/>
      <c r="W20" s="47"/>
      <c r="X20" s="47"/>
      <c r="Y20" s="44"/>
      <c r="Z20" s="44"/>
      <c r="AA20" s="42"/>
      <c r="AC20" s="46"/>
      <c r="AD20" s="42"/>
      <c r="AF20" s="42"/>
      <c r="AG20" s="42"/>
      <c r="AH20" s="42"/>
      <c r="AI20" s="42"/>
      <c r="AJ20" s="42"/>
      <c r="AK20" s="42"/>
      <c r="AL20" s="42"/>
      <c r="AM20" s="24"/>
    </row>
    <row r="21" spans="1:46" ht="15.75" hidden="1" x14ac:dyDescent="0.35">
      <c r="C21" s="40">
        <v>1996</v>
      </c>
      <c r="D21" s="41"/>
      <c r="E21" s="42"/>
      <c r="F21" s="41"/>
      <c r="G21" s="42"/>
      <c r="H21" s="43"/>
      <c r="I21" s="42"/>
      <c r="J21" s="48"/>
      <c r="L21" s="44">
        <f>[2]TRIM_dsa!I72</f>
        <v>319599.77600000001</v>
      </c>
      <c r="M21" s="42"/>
      <c r="N21" s="42"/>
      <c r="P21" s="44">
        <f>[2]TRIM_dsa!L72</f>
        <v>-26071</v>
      </c>
      <c r="Q21" s="42"/>
      <c r="R21" s="45" t="s">
        <v>31</v>
      </c>
      <c r="S21" s="45" t="s">
        <v>31</v>
      </c>
      <c r="T21" s="45" t="s">
        <v>31</v>
      </c>
      <c r="U21" s="46"/>
      <c r="V21" s="42"/>
      <c r="W21" s="47"/>
      <c r="X21" s="47"/>
      <c r="Y21" s="44"/>
      <c r="Z21" s="44"/>
      <c r="AA21" s="42"/>
      <c r="AC21" s="46"/>
      <c r="AD21" s="42"/>
      <c r="AF21" s="42"/>
      <c r="AG21" s="42"/>
      <c r="AH21" s="42"/>
      <c r="AI21" s="42"/>
      <c r="AJ21" s="42"/>
      <c r="AK21" s="42"/>
      <c r="AL21" s="42"/>
      <c r="AM21" s="24"/>
    </row>
    <row r="22" spans="1:46" ht="15.75" hidden="1" x14ac:dyDescent="0.35">
      <c r="C22" s="40">
        <v>1997</v>
      </c>
      <c r="D22" s="41"/>
      <c r="E22" s="42"/>
      <c r="F22" s="41"/>
      <c r="G22" s="42"/>
      <c r="H22" s="43"/>
      <c r="I22" s="42"/>
      <c r="J22" s="48"/>
      <c r="L22" s="44">
        <f>[2]TRIM_dsa!I76</f>
        <v>333199.26400000002</v>
      </c>
      <c r="M22" s="42"/>
      <c r="N22" s="42"/>
      <c r="P22" s="44">
        <f>[2]TRIM_dsa!L76</f>
        <v>-20176</v>
      </c>
      <c r="Q22" s="42"/>
      <c r="R22" s="45" t="s">
        <v>31</v>
      </c>
      <c r="S22" s="45" t="s">
        <v>31</v>
      </c>
      <c r="T22" s="45" t="s">
        <v>31</v>
      </c>
      <c r="U22" s="46"/>
      <c r="V22" s="42"/>
      <c r="W22" s="47"/>
      <c r="X22" s="47"/>
      <c r="Y22" s="44"/>
      <c r="Z22" s="44"/>
      <c r="AA22" s="42"/>
      <c r="AC22" s="46"/>
      <c r="AD22" s="42"/>
      <c r="AF22" s="42"/>
      <c r="AG22" s="42"/>
      <c r="AH22" s="42"/>
      <c r="AI22" s="42"/>
      <c r="AJ22" s="42"/>
      <c r="AK22" s="42"/>
      <c r="AL22" s="42"/>
      <c r="AM22" s="24"/>
    </row>
    <row r="23" spans="1:46" ht="15.75" hidden="1" x14ac:dyDescent="0.35">
      <c r="C23" s="40">
        <v>1998</v>
      </c>
      <c r="D23" s="41"/>
      <c r="E23" s="42"/>
      <c r="F23" s="41"/>
      <c r="G23" s="42"/>
      <c r="H23" s="43"/>
      <c r="I23" s="42"/>
      <c r="J23" s="48"/>
      <c r="L23" s="44">
        <f>[2]TRIM_dsa!I80</f>
        <v>345967.74400000001</v>
      </c>
      <c r="M23" s="42"/>
      <c r="N23" s="42"/>
      <c r="P23" s="44">
        <f>[2]TRIM_dsa!L80</f>
        <v>-16281</v>
      </c>
      <c r="Q23" s="42"/>
      <c r="R23" s="45" t="s">
        <v>31</v>
      </c>
      <c r="S23" s="45" t="s">
        <v>31</v>
      </c>
      <c r="T23" s="45" t="s">
        <v>31</v>
      </c>
      <c r="U23" s="46"/>
      <c r="V23" s="42"/>
      <c r="W23" s="47"/>
      <c r="X23" s="47"/>
      <c r="Y23" s="44"/>
      <c r="Z23" s="44"/>
      <c r="AA23" s="42"/>
      <c r="AC23" s="46"/>
      <c r="AD23" s="42"/>
      <c r="AF23" s="42"/>
      <c r="AG23" s="42"/>
      <c r="AH23" s="42"/>
      <c r="AI23" s="42"/>
      <c r="AJ23" s="42"/>
      <c r="AK23" s="42"/>
      <c r="AL23" s="42"/>
      <c r="AM23" s="24"/>
    </row>
    <row r="24" spans="1:46" ht="15.75" hidden="1" x14ac:dyDescent="0.35">
      <c r="C24" s="40">
        <v>1999</v>
      </c>
      <c r="D24" s="41"/>
      <c r="E24" s="42"/>
      <c r="F24" s="41"/>
      <c r="G24" s="42"/>
      <c r="H24" s="43"/>
      <c r="I24" s="42"/>
      <c r="J24" s="48"/>
      <c r="L24" s="44">
        <f>[2]TRIM_dsa!I84</f>
        <v>361775.16800000001</v>
      </c>
      <c r="M24" s="42"/>
      <c r="N24" s="42"/>
      <c r="P24" s="44">
        <f>[2]TRIM_dsa!L84</f>
        <v>-7619</v>
      </c>
      <c r="Q24" s="42"/>
      <c r="R24" s="45" t="s">
        <v>31</v>
      </c>
      <c r="S24" s="45" t="s">
        <v>31</v>
      </c>
      <c r="T24" s="45" t="s">
        <v>31</v>
      </c>
      <c r="U24" s="46"/>
      <c r="V24" s="42"/>
      <c r="W24" s="47"/>
      <c r="X24" s="47"/>
      <c r="Y24" s="44"/>
      <c r="Z24" s="44"/>
      <c r="AA24" s="42"/>
      <c r="AC24" s="46"/>
      <c r="AD24" s="42"/>
      <c r="AF24" s="42"/>
      <c r="AG24" s="42"/>
      <c r="AH24" s="42"/>
      <c r="AI24" s="42"/>
      <c r="AJ24" s="42"/>
      <c r="AK24" s="42"/>
      <c r="AL24" s="42"/>
      <c r="AM24" s="24"/>
    </row>
    <row r="25" spans="1:46" s="117" customFormat="1" ht="15.75" x14ac:dyDescent="0.35">
      <c r="A25" s="49"/>
      <c r="B25" s="91" t="s">
        <v>45</v>
      </c>
      <c r="C25" s="50">
        <v>2000</v>
      </c>
      <c r="D25" s="114">
        <f>[2]TRIM_dsa!C88</f>
        <v>78.386499999999998</v>
      </c>
      <c r="E25" s="111"/>
      <c r="F25" s="115">
        <f t="shared" ref="F25:F38" si="0">(H25/$H$33)/D25*10000</f>
        <v>73.873877961848336</v>
      </c>
      <c r="G25" s="111"/>
      <c r="H25" s="116">
        <f>([2]TRIM_dsa!G88)/1000</f>
        <v>629.90700000000004</v>
      </c>
      <c r="I25" s="111"/>
      <c r="J25" s="111"/>
      <c r="L25" s="118">
        <f>([2]TRIM_dsa!I88)/1000</f>
        <v>374.03318400000001</v>
      </c>
      <c r="M25" s="111">
        <f>L25/$H25</f>
        <v>0.59379112154651403</v>
      </c>
      <c r="N25" s="111"/>
      <c r="P25" s="118">
        <f>([2]TRIM_dsa!L88)/1000</f>
        <v>-5.95</v>
      </c>
      <c r="Q25" s="111">
        <f>P25/$H25</f>
        <v>-9.4458388301765176E-3</v>
      </c>
      <c r="R25" s="111" t="s">
        <v>31</v>
      </c>
      <c r="S25" s="111" t="s">
        <v>31</v>
      </c>
      <c r="T25" s="111" t="s">
        <v>31</v>
      </c>
      <c r="U25" s="119">
        <f>P25+Y25</f>
        <v>14.467000000000002</v>
      </c>
      <c r="V25" s="111">
        <f>U25/$H25</f>
        <v>2.2966882412800621E-2</v>
      </c>
      <c r="W25" s="111" t="s">
        <v>31</v>
      </c>
      <c r="X25" s="120"/>
      <c r="Y25" s="118">
        <f>([2]TRIM_dsa!P88)/1000</f>
        <v>20.417000000000002</v>
      </c>
      <c r="Z25" s="111">
        <f t="shared" ref="Z25:Z49" si="1">Y25/$H25</f>
        <v>3.2412721242977137E-2</v>
      </c>
      <c r="AA25" s="111">
        <f>Y25/L24</f>
        <v>5.6435603673052543E-5</v>
      </c>
      <c r="AC25" s="119"/>
      <c r="AD25" s="111"/>
      <c r="AF25" s="111"/>
      <c r="AG25" s="111"/>
      <c r="AH25" s="111"/>
      <c r="AI25" s="111"/>
      <c r="AJ25" s="111"/>
      <c r="AK25" s="111"/>
      <c r="AL25" s="111"/>
    </row>
    <row r="26" spans="1:46" s="117" customFormat="1" ht="15.75" x14ac:dyDescent="0.35">
      <c r="A26" s="49"/>
      <c r="B26" s="91"/>
      <c r="C26" s="50">
        <v>2001</v>
      </c>
      <c r="D26" s="114">
        <f>[2]TRIM_dsa!C92</f>
        <v>81.262839999999997</v>
      </c>
      <c r="E26" s="111">
        <f>(D26/D25-1)</f>
        <v>3.6694328742832072E-2</v>
      </c>
      <c r="F26" s="115">
        <f t="shared" si="0"/>
        <v>76.970823028363824</v>
      </c>
      <c r="G26" s="111">
        <f t="shared" ref="G26:G35" si="2">(F26/F25-1)</f>
        <v>4.1922058946396223E-2</v>
      </c>
      <c r="H26" s="116">
        <f>([2]TRIM_dsa!G92)/1000</f>
        <v>680.39700000000005</v>
      </c>
      <c r="I26" s="111">
        <f t="shared" ref="I26:I38" si="3">(H26/H25-1)</f>
        <v>8.0154689501783505E-2</v>
      </c>
      <c r="J26" s="111" t="s">
        <v>31</v>
      </c>
      <c r="L26" s="118">
        <f>([2]TRIM_dsa!I92)/1000</f>
        <v>378.24673899999999</v>
      </c>
      <c r="M26" s="111">
        <f t="shared" ref="M26:M41" si="4">L26/$H26</f>
        <v>0.55592064485881032</v>
      </c>
      <c r="N26" s="111">
        <f>M26-M25</f>
        <v>-3.7870476687703714E-2</v>
      </c>
      <c r="P26" s="118">
        <f>([2]TRIM_dsa!L92)/1000</f>
        <v>-3.6429999999999998</v>
      </c>
      <c r="Q26" s="111">
        <f t="shared" ref="Q26:Q36" si="5">P26/$H26</f>
        <v>-5.3542270174618632E-3</v>
      </c>
      <c r="R26" s="111" t="s">
        <v>31</v>
      </c>
      <c r="S26" s="111" t="s">
        <v>31</v>
      </c>
      <c r="T26" s="111" t="s">
        <v>31</v>
      </c>
      <c r="U26" s="119">
        <f>P26+Y26</f>
        <v>17.128999999999998</v>
      </c>
      <c r="V26" s="111">
        <f t="shared" ref="V26:V49" si="6">U26/$H26</f>
        <v>2.5175008120259197E-2</v>
      </c>
      <c r="W26" s="111" t="s">
        <v>31</v>
      </c>
      <c r="X26" s="120"/>
      <c r="Y26" s="118">
        <f>([2]TRIM_dsa!P92)/1000</f>
        <v>20.771999999999998</v>
      </c>
      <c r="Z26" s="111">
        <f t="shared" si="1"/>
        <v>3.0529235137721062E-2</v>
      </c>
      <c r="AA26" s="111">
        <f>Y26/L25</f>
        <v>5.553517946685714E-2</v>
      </c>
      <c r="AC26" s="119">
        <f>L26-L25+P26</f>
        <v>0.57055499999998549</v>
      </c>
      <c r="AD26" s="111">
        <f t="shared" ref="AD26:AD35" si="7">AC26/$H26</f>
        <v>8.3856189842104745E-4</v>
      </c>
      <c r="AF26" s="111">
        <f>(AA26-I26)/(1+I26)*M25</f>
        <v>-1.3534030465865458E-2</v>
      </c>
      <c r="AG26" s="111">
        <f>Y26/H26</f>
        <v>3.0529235137721062E-2</v>
      </c>
      <c r="AH26" s="111">
        <f>(-E26-(E26*G26*0.5))/(1+I26)*M25</f>
        <v>-2.0594718343666624E-2</v>
      </c>
      <c r="AI26" s="111">
        <f>(-G26-(E26*G26*0.5))/(1+I26)*M25</f>
        <v>-2.3468547259920029E-2</v>
      </c>
      <c r="AJ26" s="111">
        <f t="shared" ref="AJ26:AJ49" si="8">-V26</f>
        <v>-2.5175008120259197E-2</v>
      </c>
      <c r="AK26" s="111">
        <f t="shared" ref="AK26:AK38" si="9">+AD26</f>
        <v>8.3856189842104745E-4</v>
      </c>
      <c r="AL26" s="121">
        <f>AF26+AJ26+AK26</f>
        <v>-3.7870476687703609E-2</v>
      </c>
      <c r="AM26" s="122"/>
      <c r="AN26" s="123"/>
    </row>
    <row r="27" spans="1:46" s="117" customFormat="1" ht="15.75" x14ac:dyDescent="0.35">
      <c r="A27" s="49"/>
      <c r="B27" s="91"/>
      <c r="C27" s="50">
        <v>2002</v>
      </c>
      <c r="D27" s="114">
        <f>[2]TRIM_dsa!C96</f>
        <v>83.465209999999999</v>
      </c>
      <c r="E27" s="111">
        <f t="shared" ref="E27:E35" si="10">(D27/D26-1)</f>
        <v>2.7101809387907183E-2</v>
      </c>
      <c r="F27" s="115">
        <f t="shared" si="0"/>
        <v>80.321433008166665</v>
      </c>
      <c r="G27" s="111">
        <f t="shared" si="2"/>
        <v>4.3530910128999567E-2</v>
      </c>
      <c r="H27" s="116">
        <f>([2]TRIM_dsa!G96)/1000</f>
        <v>729.25800000000004</v>
      </c>
      <c r="I27" s="111">
        <f t="shared" si="3"/>
        <v>7.1812485945705218E-2</v>
      </c>
      <c r="J27" s="111" t="s">
        <v>31</v>
      </c>
      <c r="L27" s="118">
        <f>([2]TRIM_dsa!I96)/1000</f>
        <v>383.43498499999998</v>
      </c>
      <c r="M27" s="111">
        <f t="shared" si="4"/>
        <v>0.52578783503232052</v>
      </c>
      <c r="N27" s="111">
        <f t="shared" ref="N27:N37" si="11">M27-M26</f>
        <v>-3.0132809826489804E-2</v>
      </c>
      <c r="P27" s="118">
        <f>([2]TRIM_dsa!L96)/1000</f>
        <v>-2.2810000000000001</v>
      </c>
      <c r="Q27" s="111">
        <f t="shared" si="5"/>
        <v>-3.1278367875292421E-3</v>
      </c>
      <c r="R27" s="111" t="s">
        <v>31</v>
      </c>
      <c r="S27" s="111" t="s">
        <v>31</v>
      </c>
      <c r="T27" s="111" t="s">
        <v>31</v>
      </c>
      <c r="U27" s="119">
        <f>P27+Y27</f>
        <v>17.5</v>
      </c>
      <c r="V27" s="111">
        <f t="shared" si="6"/>
        <v>2.3996994205068713E-2</v>
      </c>
      <c r="W27" s="111" t="s">
        <v>31</v>
      </c>
      <c r="X27" s="120"/>
      <c r="Y27" s="118">
        <f>([2]TRIM_dsa!P96)/1000</f>
        <v>19.780999999999999</v>
      </c>
      <c r="Z27" s="111">
        <f t="shared" si="1"/>
        <v>2.7124830992597954E-2</v>
      </c>
      <c r="AA27" s="111">
        <f>Y27/L26</f>
        <v>5.2296551325985124E-2</v>
      </c>
      <c r="AC27" s="119">
        <f>L27-L26+P27</f>
        <v>2.9072459999999922</v>
      </c>
      <c r="AD27" s="111">
        <f t="shared" si="7"/>
        <v>3.9865808808405151E-3</v>
      </c>
      <c r="AF27" s="111">
        <f>(AA27-I27)/(1+I27)*M26</f>
        <v>-1.0122396502261655E-2</v>
      </c>
      <c r="AG27" s="111">
        <f>Y27/H27</f>
        <v>2.7124830992597954E-2</v>
      </c>
      <c r="AH27" s="111">
        <f>(-E27-(E27*G27*0.5))/(1+I27)*M26</f>
        <v>-1.4362944834630251E-2</v>
      </c>
      <c r="AI27" s="111">
        <f>(-G27-(E27*G27*0.5))/(1+I27)*M26</f>
        <v>-2.2884282660229249E-2</v>
      </c>
      <c r="AJ27" s="111">
        <f t="shared" si="8"/>
        <v>-2.3996994205068713E-2</v>
      </c>
      <c r="AK27" s="111">
        <f>+AD27</f>
        <v>3.9865808808405151E-3</v>
      </c>
      <c r="AL27" s="121">
        <f t="shared" ref="AL27:AL49" si="12">AF27+AJ27+AK27</f>
        <v>-3.0132809826489852E-2</v>
      </c>
      <c r="AM27" s="122"/>
      <c r="AN27" s="123"/>
      <c r="AO27" s="123"/>
    </row>
    <row r="28" spans="1:46" s="117" customFormat="1" ht="15.75" x14ac:dyDescent="0.35">
      <c r="A28" s="49"/>
      <c r="B28" s="91"/>
      <c r="C28" s="50">
        <v>2003</v>
      </c>
      <c r="D28" s="114">
        <f>[2]TRIM_dsa!C100</f>
        <v>86.043819999999997</v>
      </c>
      <c r="E28" s="111">
        <f t="shared" si="10"/>
        <v>3.0894428948300634E-2</v>
      </c>
      <c r="F28" s="115">
        <f>(H28/$H$33)/D28*10000</f>
        <v>83.664899693704754</v>
      </c>
      <c r="G28" s="111">
        <f t="shared" si="2"/>
        <v>4.1626083603340858E-2</v>
      </c>
      <c r="H28" s="116">
        <f>([2]TRIM_dsa!G100)/1000</f>
        <v>783.08199999999999</v>
      </c>
      <c r="I28" s="111">
        <f t="shared" si="3"/>
        <v>7.3806526633920955E-2</v>
      </c>
      <c r="J28" s="111" t="s">
        <v>31</v>
      </c>
      <c r="L28" s="118">
        <f>([2]TRIM_dsa!I100)/1000</f>
        <v>382.031856</v>
      </c>
      <c r="M28" s="111">
        <f>L28/$H28</f>
        <v>0.4878567710661208</v>
      </c>
      <c r="N28" s="111">
        <f t="shared" si="11"/>
        <v>-3.7931063966199718E-2</v>
      </c>
      <c r="P28" s="118">
        <f>([2]TRIM_dsa!L100)/1000</f>
        <v>-2.419</v>
      </c>
      <c r="Q28" s="111">
        <f t="shared" si="5"/>
        <v>-3.0890762397807639E-3</v>
      </c>
      <c r="R28" s="111" t="s">
        <v>31</v>
      </c>
      <c r="S28" s="111" t="s">
        <v>31</v>
      </c>
      <c r="T28" s="111" t="s">
        <v>31</v>
      </c>
      <c r="U28" s="119">
        <f>P28+Y28</f>
        <v>16.134999999999998</v>
      </c>
      <c r="V28" s="111">
        <f t="shared" si="6"/>
        <v>2.0604483310815467E-2</v>
      </c>
      <c r="W28" s="111" t="s">
        <v>31</v>
      </c>
      <c r="X28" s="120"/>
      <c r="Y28" s="118">
        <f>([2]TRIM_dsa!P100)/1000</f>
        <v>18.553999999999998</v>
      </c>
      <c r="Z28" s="111">
        <f t="shared" si="1"/>
        <v>2.3693559550596231E-2</v>
      </c>
      <c r="AA28" s="111">
        <f>Y28/L27</f>
        <v>4.8388907444113373E-2</v>
      </c>
      <c r="AC28" s="119">
        <f>L28-L27+P28</f>
        <v>-3.8221289999999786</v>
      </c>
      <c r="AD28" s="111">
        <f t="shared" si="7"/>
        <v>-4.8808796524501628E-3</v>
      </c>
      <c r="AF28" s="111">
        <f>(AA28-I28)/(1+I28)*M27</f>
        <v>-1.2445701002934026E-2</v>
      </c>
      <c r="AG28" s="111">
        <f>Y28/H28</f>
        <v>2.3693559550596231E-2</v>
      </c>
      <c r="AH28" s="111">
        <f>(-E28-(E28*G28*0.5))/(1+I28)*M27</f>
        <v>-1.5442260574945564E-2</v>
      </c>
      <c r="AI28" s="111">
        <f>(-G28-(E28*G28*0.5))/(1+I28)*M27</f>
        <v>-2.0696999978584683E-2</v>
      </c>
      <c r="AJ28" s="111">
        <f t="shared" si="8"/>
        <v>-2.0604483310815467E-2</v>
      </c>
      <c r="AK28" s="111">
        <f t="shared" si="9"/>
        <v>-4.8808796524501628E-3</v>
      </c>
      <c r="AL28" s="121">
        <f t="shared" si="12"/>
        <v>-3.7931063966199656E-2</v>
      </c>
      <c r="AM28" s="122"/>
      <c r="AN28" s="123"/>
      <c r="AO28" s="123"/>
      <c r="AP28" s="123"/>
    </row>
    <row r="29" spans="1:46" s="117" customFormat="1" ht="15.75" x14ac:dyDescent="0.35">
      <c r="A29" s="49"/>
      <c r="B29" s="91"/>
      <c r="C29" s="50">
        <v>2004</v>
      </c>
      <c r="D29" s="114">
        <f>[2]TRIM_dsa!C104</f>
        <v>88.848247500000014</v>
      </c>
      <c r="E29" s="111">
        <f t="shared" si="10"/>
        <v>3.2593014815009536E-2</v>
      </c>
      <c r="F29" s="115">
        <f>(H29/$H$33)/D29*10000</f>
        <v>87.047171167606493</v>
      </c>
      <c r="G29" s="111">
        <f t="shared" si="2"/>
        <v>4.0426409238332406E-2</v>
      </c>
      <c r="H29" s="116">
        <f>([2]TRIM_dsa!G104)/1000</f>
        <v>841.29399999999998</v>
      </c>
      <c r="I29" s="111">
        <f t="shared" si="3"/>
        <v>7.4337042608564552E-2</v>
      </c>
      <c r="J29" s="111" t="s">
        <v>31</v>
      </c>
      <c r="L29" s="118">
        <f>([2]TRIM_dsa!I104)/1000</f>
        <v>389.14174600000001</v>
      </c>
      <c r="M29" s="111">
        <f t="shared" si="4"/>
        <v>0.46255143386259739</v>
      </c>
      <c r="N29" s="111">
        <f t="shared" si="11"/>
        <v>-2.5305337203523404E-2</v>
      </c>
      <c r="P29" s="118">
        <f>([2]TRIM_dsa!L104)/1000</f>
        <v>-0.49</v>
      </c>
      <c r="Q29" s="111">
        <f t="shared" si="5"/>
        <v>-5.8243610438205907E-4</v>
      </c>
      <c r="R29" s="111" t="s">
        <v>31</v>
      </c>
      <c r="S29" s="111" t="s">
        <v>31</v>
      </c>
      <c r="T29" s="111" t="s">
        <v>31</v>
      </c>
      <c r="U29" s="119">
        <f>P29+Y29</f>
        <v>16.579000000000001</v>
      </c>
      <c r="V29" s="111">
        <f t="shared" si="6"/>
        <v>1.9706547295000321E-2</v>
      </c>
      <c r="W29" s="111" t="s">
        <v>31</v>
      </c>
      <c r="X29" s="120"/>
      <c r="Y29" s="118">
        <f>([2]TRIM_dsa!P104)/1000</f>
        <v>17.068999999999999</v>
      </c>
      <c r="Z29" s="111">
        <f t="shared" si="1"/>
        <v>2.0288983399382378E-2</v>
      </c>
      <c r="AA29" s="111">
        <f>Y29/L28</f>
        <v>4.467952012881355E-2</v>
      </c>
      <c r="AC29" s="119">
        <f>L29-L28+P29</f>
        <v>6.6198900000000069</v>
      </c>
      <c r="AD29" s="111">
        <f t="shared" si="7"/>
        <v>7.868699883750517E-3</v>
      </c>
      <c r="AF29" s="111">
        <f>(AA29-I29)/(1+I29)*M28</f>
        <v>-1.3467489792273569E-2</v>
      </c>
      <c r="AG29" s="111">
        <f>Y29/H29</f>
        <v>2.0288983399382378E-2</v>
      </c>
      <c r="AH29" s="111">
        <f>(-E29-(E29*G29*0.5))/(1+I29)*M28</f>
        <v>-1.5099663225328431E-2</v>
      </c>
      <c r="AI29" s="111">
        <f>(-G29-(E29*G29*0.5))/(1+I29)*M28</f>
        <v>-1.8656809966327518E-2</v>
      </c>
      <c r="AJ29" s="111">
        <f t="shared" si="8"/>
        <v>-1.9706547295000321E-2</v>
      </c>
      <c r="AK29" s="111">
        <f t="shared" si="9"/>
        <v>7.868699883750517E-3</v>
      </c>
      <c r="AL29" s="121">
        <f t="shared" si="12"/>
        <v>-2.5305337203523369E-2</v>
      </c>
      <c r="AM29" s="122"/>
      <c r="AO29" s="123"/>
      <c r="AP29" s="123"/>
      <c r="AQ29" s="123"/>
    </row>
    <row r="30" spans="1:46" s="117" customFormat="1" ht="15.75" x14ac:dyDescent="0.35">
      <c r="A30" s="49"/>
      <c r="B30" s="91"/>
      <c r="C30" s="50">
        <v>2005</v>
      </c>
      <c r="D30" s="114">
        <f>[2]TRIM_dsa!C108</f>
        <v>92.032255000000006</v>
      </c>
      <c r="E30" s="111">
        <f t="shared" si="10"/>
        <v>3.5836469368740076E-2</v>
      </c>
      <c r="F30" s="115">
        <f>(H30/$H$33)/D30*10000</f>
        <v>90.828451250792554</v>
      </c>
      <c r="G30" s="111">
        <f t="shared" si="2"/>
        <v>4.3439436715356772E-2</v>
      </c>
      <c r="H30" s="116">
        <f>([2]TRIM_dsa!G108)/1000</f>
        <v>909.298</v>
      </c>
      <c r="I30" s="111">
        <f t="shared" si="3"/>
        <v>8.083262212734188E-2</v>
      </c>
      <c r="J30" s="111" t="s">
        <v>31</v>
      </c>
      <c r="L30" s="118">
        <f>([2]TRIM_dsa!I108)/1000</f>
        <v>392.49712300000004</v>
      </c>
      <c r="M30" s="111">
        <f>L30/$H30</f>
        <v>0.43164850577038555</v>
      </c>
      <c r="N30" s="111">
        <f t="shared" si="11"/>
        <v>-3.0902928092211845E-2</v>
      </c>
      <c r="P30" s="118">
        <f>([2]TRIM_dsa!L108)/1000</f>
        <v>11.651</v>
      </c>
      <c r="Q30" s="111">
        <f t="shared" si="5"/>
        <v>1.2813181157332359E-2</v>
      </c>
      <c r="R30" s="111" t="s">
        <v>31</v>
      </c>
      <c r="S30" s="111" t="s">
        <v>31</v>
      </c>
      <c r="T30" s="111" t="s">
        <v>31</v>
      </c>
      <c r="U30" s="119">
        <f>P30+Y30</f>
        <v>27.914999999999999</v>
      </c>
      <c r="V30" s="111">
        <f t="shared" si="6"/>
        <v>3.0699506652384585E-2</v>
      </c>
      <c r="W30" s="111" t="s">
        <v>31</v>
      </c>
      <c r="X30" s="120"/>
      <c r="Y30" s="118">
        <f>([2]TRIM_dsa!P108)/1000</f>
        <v>16.263999999999999</v>
      </c>
      <c r="Z30" s="111">
        <f t="shared" si="1"/>
        <v>1.7886325495052226E-2</v>
      </c>
      <c r="AA30" s="111">
        <f>Y30/L29</f>
        <v>4.1794539309077366E-2</v>
      </c>
      <c r="AC30" s="119">
        <f>L30-L29+P30</f>
        <v>15.006377000000032</v>
      </c>
      <c r="AD30" s="111">
        <f t="shared" si="7"/>
        <v>1.650325525845216E-2</v>
      </c>
      <c r="AF30" s="111">
        <f>(AA30-I30)/(1+I30)*M29</f>
        <v>-1.6706676698279389E-2</v>
      </c>
      <c r="AG30" s="111">
        <f>Y30/H30</f>
        <v>1.7886325495052226E-2</v>
      </c>
      <c r="AH30" s="111">
        <f>(-E30-(E30*G30*0.5))/(1+I30)*M29</f>
        <v>-1.5669624105820491E-2</v>
      </c>
      <c r="AI30" s="111">
        <f>(-G30-(E30*G30*0.5))/(1+I30)*M29</f>
        <v>-1.8923378087511208E-2</v>
      </c>
      <c r="AJ30" s="111">
        <f t="shared" si="8"/>
        <v>-3.0699506652384585E-2</v>
      </c>
      <c r="AK30" s="111">
        <f t="shared" si="9"/>
        <v>1.650325525845216E-2</v>
      </c>
      <c r="AL30" s="121">
        <f t="shared" si="12"/>
        <v>-3.0902928092211814E-2</v>
      </c>
      <c r="AM30" s="122"/>
      <c r="AP30" s="123"/>
      <c r="AQ30" s="123"/>
      <c r="AR30" s="123"/>
    </row>
    <row r="31" spans="1:46" s="117" customFormat="1" ht="15.75" x14ac:dyDescent="0.35">
      <c r="A31" s="49"/>
      <c r="B31" s="91"/>
      <c r="C31" s="50">
        <v>2006</v>
      </c>
      <c r="D31" s="114">
        <f>[2]TRIM_dsa!C112</f>
        <v>95.783692500000001</v>
      </c>
      <c r="E31" s="111">
        <f t="shared" si="10"/>
        <v>4.0762203425309895E-2</v>
      </c>
      <c r="F31" s="115">
        <f t="shared" si="0"/>
        <v>94.589188911660514</v>
      </c>
      <c r="G31" s="111">
        <f t="shared" si="2"/>
        <v>4.1404841864846276E-2</v>
      </c>
      <c r="H31" s="116">
        <f>([2]TRIM_dsa!G112)/1000</f>
        <v>985.54700000000003</v>
      </c>
      <c r="I31" s="111">
        <f t="shared" si="3"/>
        <v>8.3854797877043641E-2</v>
      </c>
      <c r="J31" s="111" t="s">
        <v>31</v>
      </c>
      <c r="L31" s="118">
        <f>([2]TRIM_dsa!I112)/1000</f>
        <v>391.05482699999999</v>
      </c>
      <c r="M31" s="111">
        <f t="shared" si="4"/>
        <v>0.39678962748605595</v>
      </c>
      <c r="N31" s="111">
        <f>M31-M30</f>
        <v>-3.4858878284329597E-2</v>
      </c>
      <c r="P31" s="118">
        <f>([2]TRIM_dsa!L112)/1000</f>
        <v>23.23</v>
      </c>
      <c r="Q31" s="111">
        <f t="shared" si="5"/>
        <v>2.3570666847953472E-2</v>
      </c>
      <c r="R31" s="111" t="s">
        <v>31</v>
      </c>
      <c r="S31" s="111" t="s">
        <v>31</v>
      </c>
      <c r="T31" s="111" t="s">
        <v>31</v>
      </c>
      <c r="U31" s="119">
        <f>P31+Y31</f>
        <v>39.385999999999996</v>
      </c>
      <c r="V31" s="111">
        <f t="shared" si="6"/>
        <v>3.9963593821502164E-2</v>
      </c>
      <c r="W31" s="111" t="s">
        <v>31</v>
      </c>
      <c r="X31" s="120"/>
      <c r="Y31" s="118">
        <f>([2]TRIM_dsa!P112)/1000</f>
        <v>16.155999999999999</v>
      </c>
      <c r="Z31" s="111">
        <f t="shared" si="1"/>
        <v>1.6392926973548699E-2</v>
      </c>
      <c r="AA31" s="111">
        <f>Y31/L30</f>
        <v>4.1162085154952836E-2</v>
      </c>
      <c r="AC31" s="119">
        <f>L31-L30+P31</f>
        <v>21.787703999999945</v>
      </c>
      <c r="AD31" s="111">
        <f t="shared" si="7"/>
        <v>2.2107219645536889E-2</v>
      </c>
      <c r="AF31" s="111">
        <f>(AA31-I31)/(1+I31)*M30</f>
        <v>-1.700250410836433E-2</v>
      </c>
      <c r="AG31" s="111">
        <f>Y31/H31</f>
        <v>1.6392926973548699E-2</v>
      </c>
      <c r="AH31" s="111">
        <f>(-E31-(E31*G31*0.5))/(1+I31)*M30</f>
        <v>-1.6569749173727367E-2</v>
      </c>
      <c r="AI31" s="111">
        <f>(-G31-(E31*G31*0.5))/(1+I31)*M30</f>
        <v>-1.6825681908185734E-2</v>
      </c>
      <c r="AJ31" s="111">
        <f t="shared" si="8"/>
        <v>-3.9963593821502164E-2</v>
      </c>
      <c r="AK31" s="111">
        <f t="shared" si="9"/>
        <v>2.2107219645536889E-2</v>
      </c>
      <c r="AL31" s="121">
        <f t="shared" si="12"/>
        <v>-3.4858878284329611E-2</v>
      </c>
      <c r="AM31" s="122"/>
      <c r="AN31" s="123"/>
      <c r="AO31" s="123"/>
      <c r="AP31" s="123"/>
      <c r="AQ31" s="123"/>
      <c r="AR31" s="123"/>
      <c r="AS31" s="123"/>
    </row>
    <row r="32" spans="1:46" s="117" customFormat="1" ht="15.75" x14ac:dyDescent="0.35">
      <c r="A32" s="49"/>
      <c r="B32" s="91"/>
      <c r="C32" s="50">
        <v>2007</v>
      </c>
      <c r="D32" s="114">
        <f>[2]TRIM_dsa!C116</f>
        <v>99.116182499999994</v>
      </c>
      <c r="E32" s="111">
        <f t="shared" si="10"/>
        <v>3.4791830561345272E-2</v>
      </c>
      <c r="F32" s="115">
        <f t="shared" si="0"/>
        <v>97.680064562727296</v>
      </c>
      <c r="G32" s="111">
        <f t="shared" si="2"/>
        <v>3.2676838512204931E-2</v>
      </c>
      <c r="H32" s="116">
        <f>([2]TRIM_dsa!G116)/1000</f>
        <v>1053.1610000000001</v>
      </c>
      <c r="I32" s="111">
        <f t="shared" si="3"/>
        <v>6.8605556102347309E-2</v>
      </c>
      <c r="J32" s="111" t="s">
        <v>31</v>
      </c>
      <c r="L32" s="118">
        <f>([2]TRIM_dsa!I116)/1000</f>
        <v>382.30694900000003</v>
      </c>
      <c r="M32" s="111">
        <f t="shared" si="4"/>
        <v>0.36300902616029268</v>
      </c>
      <c r="N32" s="111">
        <f t="shared" si="11"/>
        <v>-3.3780601325763271E-2</v>
      </c>
      <c r="P32" s="118">
        <f>([2]TRIM_dsa!L116)/1000</f>
        <v>20.748000000000001</v>
      </c>
      <c r="Q32" s="111">
        <f t="shared" si="5"/>
        <v>1.9700691537191371E-2</v>
      </c>
      <c r="R32" s="111" t="s">
        <v>31</v>
      </c>
      <c r="S32" s="111" t="s">
        <v>31</v>
      </c>
      <c r="T32" s="111" t="s">
        <v>31</v>
      </c>
      <c r="U32" s="119">
        <f>P32+Y32</f>
        <v>37.679000000000002</v>
      </c>
      <c r="V32" s="111">
        <f t="shared" si="6"/>
        <v>3.577705592972015E-2</v>
      </c>
      <c r="W32" s="111" t="s">
        <v>31</v>
      </c>
      <c r="X32" s="120"/>
      <c r="Y32" s="118">
        <f>([2]TRIM_dsa!P116)/1000</f>
        <v>16.931000000000001</v>
      </c>
      <c r="Z32" s="111">
        <f t="shared" si="1"/>
        <v>1.6076364392528776E-2</v>
      </c>
      <c r="AA32" s="111">
        <f>Y32/L31</f>
        <v>4.3295719247060979E-2</v>
      </c>
      <c r="AC32" s="119">
        <f>L32-L31+P32</f>
        <v>12.000122000000044</v>
      </c>
      <c r="AD32" s="111">
        <f t="shared" si="7"/>
        <v>1.1394385094017004E-2</v>
      </c>
      <c r="AF32" s="111">
        <f>(AA32-I32)/(1+I32)*M31</f>
        <v>-9.3979304900601319E-3</v>
      </c>
      <c r="AG32" s="111">
        <f>Y32/H32</f>
        <v>1.6076364392528776E-2</v>
      </c>
      <c r="AH32" s="111">
        <f>(-E32-(E32*G32*0.5))/(1+I32)*M31</f>
        <v>-1.3129811929384567E-2</v>
      </c>
      <c r="AI32" s="111">
        <f>(-G32-(E32*G32*0.5))/(1+I32)*M31</f>
        <v>-1.2344482953204334E-2</v>
      </c>
      <c r="AJ32" s="111">
        <f t="shared" si="8"/>
        <v>-3.577705592972015E-2</v>
      </c>
      <c r="AK32" s="111">
        <f>+AD32</f>
        <v>1.1394385094017004E-2</v>
      </c>
      <c r="AL32" s="121">
        <f t="shared" si="12"/>
        <v>-3.3780601325763278E-2</v>
      </c>
      <c r="AM32" s="122"/>
      <c r="AR32" s="123"/>
      <c r="AS32" s="123"/>
      <c r="AT32" s="123"/>
    </row>
    <row r="33" spans="1:56" s="117" customFormat="1" ht="15.75" x14ac:dyDescent="0.35">
      <c r="A33" s="49"/>
      <c r="B33" s="91"/>
      <c r="C33" s="50">
        <v>2008</v>
      </c>
      <c r="D33" s="114">
        <f>[2]TRIM_dsa!C120</f>
        <v>100</v>
      </c>
      <c r="E33" s="111">
        <f t="shared" si="10"/>
        <v>8.9169848727779222E-3</v>
      </c>
      <c r="F33" s="115">
        <f t="shared" si="0"/>
        <v>100</v>
      </c>
      <c r="G33" s="111">
        <f t="shared" si="2"/>
        <v>2.3750347091375135E-2</v>
      </c>
      <c r="H33" s="116">
        <f>([2]TRIM_dsa!G120)/1000</f>
        <v>1087.788</v>
      </c>
      <c r="I33" s="111">
        <f t="shared" si="3"/>
        <v>3.2879113449890252E-2</v>
      </c>
      <c r="J33" s="111" t="s">
        <v>31</v>
      </c>
      <c r="L33" s="118">
        <f>([2]TRIM_dsa!I120)/1000</f>
        <v>436.984105</v>
      </c>
      <c r="M33" s="111">
        <f t="shared" si="4"/>
        <v>0.40171807833879397</v>
      </c>
      <c r="N33" s="111">
        <f t="shared" si="11"/>
        <v>3.8709052178501291E-2</v>
      </c>
      <c r="P33" s="118">
        <f>([2]TRIM_dsa!L120)/1000</f>
        <v>-49.113</v>
      </c>
      <c r="Q33" s="111">
        <f t="shared" si="5"/>
        <v>-4.5149422497766108E-2</v>
      </c>
      <c r="R33" s="111" t="s">
        <v>31</v>
      </c>
      <c r="S33" s="111" t="s">
        <v>31</v>
      </c>
      <c r="T33" s="111" t="s">
        <v>31</v>
      </c>
      <c r="U33" s="119">
        <f>P33+Y33</f>
        <v>-31.687000000000001</v>
      </c>
      <c r="V33" s="111">
        <f>U33/$H33</f>
        <v>-2.9129756901160889E-2</v>
      </c>
      <c r="W33" s="111" t="s">
        <v>31</v>
      </c>
      <c r="X33" s="120"/>
      <c r="Y33" s="118">
        <f>([2]TRIM_dsa!P120)/1000</f>
        <v>17.425999999999998</v>
      </c>
      <c r="Z33" s="111">
        <f t="shared" si="1"/>
        <v>1.6019665596605219E-2</v>
      </c>
      <c r="AA33" s="111">
        <f>Y33/L32</f>
        <v>4.5581175141025221E-2</v>
      </c>
      <c r="AC33" s="119">
        <f>L33-L32+P33</f>
        <v>5.5641559999999686</v>
      </c>
      <c r="AD33" s="111">
        <f t="shared" si="7"/>
        <v>5.1151106649457139E-3</v>
      </c>
      <c r="AF33" s="111">
        <f>(AA33-I33)/(1+I33)*M32</f>
        <v>4.4641846123946866E-3</v>
      </c>
      <c r="AG33" s="111">
        <f>Y33/H33</f>
        <v>1.6019665596605219E-2</v>
      </c>
      <c r="AH33" s="111">
        <f>(-E33-(E33*G33*0.5))/(1+I33)*M32</f>
        <v>-3.1711216228017627E-3</v>
      </c>
      <c r="AI33" s="111">
        <f>(-G33-(E33*G33*0.5))/(1+I33)*M32</f>
        <v>-8.3843593614087077E-3</v>
      </c>
      <c r="AJ33" s="111">
        <f t="shared" si="8"/>
        <v>2.9129756901160889E-2</v>
      </c>
      <c r="AK33" s="111">
        <f t="shared" si="9"/>
        <v>5.1151106649457139E-3</v>
      </c>
      <c r="AL33" s="121">
        <f t="shared" si="12"/>
        <v>3.8709052178501291E-2</v>
      </c>
      <c r="AM33" s="122"/>
      <c r="AS33" s="123"/>
      <c r="AT33" s="123"/>
      <c r="AU33" s="123"/>
    </row>
    <row r="34" spans="1:56" s="117" customFormat="1" ht="15.75" x14ac:dyDescent="0.35">
      <c r="A34" s="49"/>
      <c r="B34" s="91"/>
      <c r="C34" s="50">
        <v>2009</v>
      </c>
      <c r="D34" s="114">
        <f>[2]TRIM_dsa!C124</f>
        <v>96.167637499999998</v>
      </c>
      <c r="E34" s="111">
        <f>(D34/D33-1)</f>
        <v>-3.8323624999999972E-2</v>
      </c>
      <c r="F34" s="115">
        <f t="shared" si="0"/>
        <v>100.07589899396409</v>
      </c>
      <c r="G34" s="111">
        <f t="shared" si="2"/>
        <v>7.5898993964096384E-4</v>
      </c>
      <c r="H34" s="116">
        <f>([2]TRIM_dsa!G124)/1000</f>
        <v>1046.894</v>
      </c>
      <c r="I34" s="111">
        <f t="shared" si="3"/>
        <v>-3.7593722306184629E-2</v>
      </c>
      <c r="J34" s="111" t="s">
        <v>31</v>
      </c>
      <c r="L34" s="118">
        <f>([2]TRIM_dsa!I124)/1000</f>
        <v>565.08253300000001</v>
      </c>
      <c r="M34" s="111">
        <f t="shared" si="4"/>
        <v>0.53977053359747984</v>
      </c>
      <c r="N34" s="111">
        <f t="shared" si="11"/>
        <v>0.13805245525868587</v>
      </c>
      <c r="P34" s="118">
        <f>([2]TRIM_dsa!L124)/1000</f>
        <v>-116.429</v>
      </c>
      <c r="Q34" s="111">
        <f t="shared" si="5"/>
        <v>-0.11121374274759431</v>
      </c>
      <c r="R34" s="111" t="s">
        <v>31</v>
      </c>
      <c r="S34" s="111" t="s">
        <v>31</v>
      </c>
      <c r="T34" s="111" t="s">
        <v>31</v>
      </c>
      <c r="U34" s="119">
        <f>P34+Y34</f>
        <v>-97.864000000000004</v>
      </c>
      <c r="V34" s="111">
        <f t="shared" si="6"/>
        <v>-9.3480333252459177E-2</v>
      </c>
      <c r="W34" s="111" t="s">
        <v>31</v>
      </c>
      <c r="X34" s="120"/>
      <c r="Y34" s="118">
        <f>([2]TRIM_dsa!P124)/1000</f>
        <v>18.565000000000001</v>
      </c>
      <c r="Z34" s="111">
        <f t="shared" si="1"/>
        <v>1.7733409495135133E-2</v>
      </c>
      <c r="AA34" s="111">
        <f>Y34/L33</f>
        <v>4.2484382812962962E-2</v>
      </c>
      <c r="AC34" s="119">
        <f>L34-L33+P34</f>
        <v>11.669428000000011</v>
      </c>
      <c r="AD34" s="111">
        <f t="shared" si="7"/>
        <v>1.1146713993966925E-2</v>
      </c>
      <c r="AF34" s="111">
        <f>(AA34-I34)/(1+I34)*M33</f>
        <v>3.3425408012259718E-2</v>
      </c>
      <c r="AG34" s="111">
        <f>Y34/H34</f>
        <v>1.7733409495135133E-2</v>
      </c>
      <c r="AH34" s="111">
        <f>(-E34-(E34*G34*0.5))/(1+I34)*M33</f>
        <v>1.600273791140518E-2</v>
      </c>
      <c r="AI34" s="111">
        <f>(-G34-(E34*G34*0.5))/(1+I34)*M33</f>
        <v>-3.10739394280614E-4</v>
      </c>
      <c r="AJ34" s="111">
        <f t="shared" si="8"/>
        <v>9.3480333252459177E-2</v>
      </c>
      <c r="AK34" s="111">
        <f t="shared" si="9"/>
        <v>1.1146713993966925E-2</v>
      </c>
      <c r="AL34" s="121">
        <f t="shared" si="12"/>
        <v>0.13805245525868581</v>
      </c>
      <c r="AM34" s="122"/>
      <c r="AT34" s="123"/>
      <c r="AU34" s="123"/>
      <c r="AV34" s="123"/>
    </row>
    <row r="35" spans="1:56" s="117" customFormat="1" ht="15.75" x14ac:dyDescent="0.35">
      <c r="A35" s="49"/>
      <c r="B35" s="91"/>
      <c r="C35" s="50">
        <v>2010</v>
      </c>
      <c r="D35" s="114">
        <f>[2]TRIM_dsa!C128</f>
        <v>95.974087499999996</v>
      </c>
      <c r="E35" s="111">
        <f t="shared" si="10"/>
        <v>-2.01263132828855E-3</v>
      </c>
      <c r="F35" s="115">
        <f t="shared" si="0"/>
        <v>100.15568979520619</v>
      </c>
      <c r="G35" s="111">
        <f t="shared" si="2"/>
        <v>7.9730286756563018E-4</v>
      </c>
      <c r="H35" s="116">
        <f>([2]TRIM_dsa!G128)/1000</f>
        <v>1045.6199999999999</v>
      </c>
      <c r="I35" s="111">
        <f t="shared" si="3"/>
        <v>-1.2169331374524139E-3</v>
      </c>
      <c r="J35" s="111" t="s">
        <v>31</v>
      </c>
      <c r="L35" s="118">
        <f>([2]TRIM_dsa!I128)/1000</f>
        <v>644.69235700000002</v>
      </c>
      <c r="M35" s="111">
        <f t="shared" si="4"/>
        <v>0.61656467645989943</v>
      </c>
      <c r="N35" s="111">
        <f t="shared" si="11"/>
        <v>7.679414286241959E-2</v>
      </c>
      <c r="P35" s="118">
        <f>([2]TRIM_dsa!L128)/1000</f>
        <v>-100.507992</v>
      </c>
      <c r="Q35" s="111">
        <f t="shared" si="5"/>
        <v>-9.6122866815860464E-2</v>
      </c>
      <c r="R35" s="111" t="s">
        <v>31</v>
      </c>
      <c r="S35" s="111" t="s">
        <v>31</v>
      </c>
      <c r="T35" s="111" t="s">
        <v>31</v>
      </c>
      <c r="U35" s="119">
        <f>P35+Y35</f>
        <v>-80.154991999999993</v>
      </c>
      <c r="V35" s="111">
        <f t="shared" si="6"/>
        <v>-7.6657860408178874E-2</v>
      </c>
      <c r="W35" s="111" t="s">
        <v>31</v>
      </c>
      <c r="X35" s="120"/>
      <c r="Y35" s="118">
        <f>([2]TRIM_dsa!P128)/1000</f>
        <v>20.353000000000002</v>
      </c>
      <c r="Z35" s="111">
        <f t="shared" si="1"/>
        <v>1.9465006407681569E-2</v>
      </c>
      <c r="AA35" s="111">
        <f>Y35/L34</f>
        <v>3.6017747517246304E-2</v>
      </c>
      <c r="AC35" s="119">
        <f>L35-L34+P35</f>
        <v>-20.898167999999998</v>
      </c>
      <c r="AD35" s="111">
        <f t="shared" si="7"/>
        <v>-1.9986388936707407E-2</v>
      </c>
      <c r="AF35" s="111">
        <f>(AA35-I35)/(1+I35)*M34</f>
        <v>2.0122671390948196E-2</v>
      </c>
      <c r="AG35" s="111">
        <f>Y35/H35</f>
        <v>1.9465006407681569E-2</v>
      </c>
      <c r="AH35" s="111">
        <f>(-E35-(E35*G35*0.5))/(1+I35)*M34</f>
        <v>1.0881163294312424E-3</v>
      </c>
      <c r="AI35" s="111">
        <f>(-G35-(E35*G35*0.5))/(1+I35)*M34</f>
        <v>-4.3045134616467081E-4</v>
      </c>
      <c r="AJ35" s="111">
        <f t="shared" si="8"/>
        <v>7.6657860408178874E-2</v>
      </c>
      <c r="AK35" s="111">
        <f t="shared" si="9"/>
        <v>-1.9986388936707407E-2</v>
      </c>
      <c r="AL35" s="121">
        <f t="shared" si="12"/>
        <v>7.6794142862419673E-2</v>
      </c>
      <c r="AM35" s="122"/>
      <c r="AU35" s="123"/>
      <c r="AV35" s="123"/>
      <c r="AW35" s="123"/>
    </row>
    <row r="36" spans="1:56" s="117" customFormat="1" ht="15.75" x14ac:dyDescent="0.35">
      <c r="A36" s="49"/>
      <c r="B36" s="91"/>
      <c r="C36" s="50">
        <v>2011</v>
      </c>
      <c r="D36" s="114">
        <f>[2]TRIM_dsa!C132</f>
        <v>96.022365000000008</v>
      </c>
      <c r="E36" s="111">
        <f>+Results!E5</f>
        <v>5.0302640282984257E-4</v>
      </c>
      <c r="F36" s="115">
        <f t="shared" si="0"/>
        <v>100.17302077724685</v>
      </c>
      <c r="G36" s="111">
        <f>+Results!F5</f>
        <v>1.730404141402353E-4</v>
      </c>
      <c r="H36" s="116">
        <f>([2]TRIM_dsa!G132)/1000</f>
        <v>1046.327</v>
      </c>
      <c r="I36" s="111">
        <f t="shared" si="3"/>
        <v>6.7615386086727902E-4</v>
      </c>
      <c r="J36" s="111">
        <f>+Results!G5</f>
        <v>0</v>
      </c>
      <c r="L36" s="118">
        <f>([2]TRIM_dsa!I132)/1000</f>
        <v>737.40591500000005</v>
      </c>
      <c r="M36" s="111">
        <f t="shared" si="4"/>
        <v>0.70475665351271644</v>
      </c>
      <c r="N36" s="111">
        <f t="shared" si="11"/>
        <v>8.8191977052817006E-2</v>
      </c>
      <c r="P36" s="118">
        <f>([2]TRIM_dsa!L132)/1000</f>
        <v>-100.072</v>
      </c>
      <c r="Q36" s="111">
        <f t="shared" si="5"/>
        <v>-9.5641228793675398E-2</v>
      </c>
      <c r="R36" s="111" t="s">
        <v>31</v>
      </c>
      <c r="S36" s="111">
        <f>+Results!I5</f>
        <v>0</v>
      </c>
      <c r="T36" s="111" t="s">
        <v>31</v>
      </c>
      <c r="U36" s="119">
        <f>P36+Y36</f>
        <v>-73.721000000000004</v>
      </c>
      <c r="V36" s="111">
        <f t="shared" si="6"/>
        <v>-7.0456941281262939E-2</v>
      </c>
      <c r="W36" s="120">
        <f>+Results!J5</f>
        <v>0</v>
      </c>
      <c r="X36" s="120"/>
      <c r="Y36" s="118">
        <f>([2]TRIM_dsa!P132)/1000</f>
        <v>26.350999999999999</v>
      </c>
      <c r="Z36" s="111">
        <f t="shared" si="1"/>
        <v>2.5184287512412466E-2</v>
      </c>
      <c r="AA36" s="111">
        <f>+Results!H5</f>
        <v>4.0873758954769177E-2</v>
      </c>
      <c r="AC36" s="119">
        <f>+AD36*H36</f>
        <v>-7.3584419999999682</v>
      </c>
      <c r="AD36" s="111">
        <f>+Results!K5</f>
        <v>-7.0326408474597028E-3</v>
      </c>
      <c r="AF36" s="111">
        <f>(AA36-I36)/(1+I36)*M35</f>
        <v>2.4767676619013773E-2</v>
      </c>
      <c r="AG36" s="111">
        <f>Y36/H36</f>
        <v>2.5184287512412466E-2</v>
      </c>
      <c r="AH36" s="111">
        <f>(-E36-(E36*G36*0.5))/(1+I36)*M35</f>
        <v>-3.0996556099688213E-4</v>
      </c>
      <c r="AI36" s="111">
        <f>(-G36-(E36*G36*0.5))/(1+I36)*M35</f>
        <v>-1.066453324017314E-4</v>
      </c>
      <c r="AJ36" s="111">
        <f t="shared" si="8"/>
        <v>7.0456941281262939E-2</v>
      </c>
      <c r="AK36" s="111">
        <f t="shared" si="9"/>
        <v>-7.0326408474597028E-3</v>
      </c>
      <c r="AL36" s="121">
        <f t="shared" si="12"/>
        <v>8.8191977052817006E-2</v>
      </c>
      <c r="AM36" s="122"/>
      <c r="AV36" s="123"/>
      <c r="AW36" s="123"/>
      <c r="AX36" s="123"/>
    </row>
    <row r="37" spans="1:56" s="117" customFormat="1" ht="15.75" x14ac:dyDescent="0.35">
      <c r="A37" s="49"/>
      <c r="B37" s="91"/>
      <c r="C37" s="50">
        <v>2012</v>
      </c>
      <c r="D37" s="114">
        <f>[2]TRIM_dsa!C136</f>
        <v>94.446219999999997</v>
      </c>
      <c r="E37" s="111">
        <f>+Results!E6</f>
        <v>-1.641435305202088E-2</v>
      </c>
      <c r="F37" s="115">
        <f t="shared" si="0"/>
        <v>100.18536104534246</v>
      </c>
      <c r="G37" s="111">
        <f>+Results!F6</f>
        <v>1.2318953746093264E-4</v>
      </c>
      <c r="H37" s="116">
        <f>([2]TRIM_dsa!G136)/1000</f>
        <v>1029.279</v>
      </c>
      <c r="I37" s="111">
        <f t="shared" si="3"/>
        <v>-1.6293185591120141E-2</v>
      </c>
      <c r="J37" s="111">
        <f>+Results!G6</f>
        <v>0</v>
      </c>
      <c r="L37" s="118">
        <f>([2]TRIM_dsa!I136)/1000</f>
        <v>884.7305990000001</v>
      </c>
      <c r="M37" s="111">
        <f t="shared" si="4"/>
        <v>0.8595634410106493</v>
      </c>
      <c r="N37" s="111">
        <f t="shared" si="11"/>
        <v>0.15480678749793286</v>
      </c>
      <c r="P37" s="118">
        <f>([2]TRIM_dsa!L136)/1000</f>
        <v>-109.460008</v>
      </c>
      <c r="Q37" s="111">
        <f>P37/$H37</f>
        <v>-0.10634629483356797</v>
      </c>
      <c r="R37" s="111" t="s">
        <v>31</v>
      </c>
      <c r="S37" s="111">
        <f>+Results!I6</f>
        <v>0</v>
      </c>
      <c r="T37" s="111" t="s">
        <v>31</v>
      </c>
      <c r="U37" s="119">
        <f>P37+Y37</f>
        <v>-77.947007999999997</v>
      </c>
      <c r="V37" s="111">
        <f t="shared" si="6"/>
        <v>-7.57297175984354E-2</v>
      </c>
      <c r="W37" s="120">
        <f>+Results!J6</f>
        <v>0</v>
      </c>
      <c r="X37" s="120"/>
      <c r="Y37" s="118">
        <f>([2]TRIM_dsa!P136)/1000</f>
        <v>31.513000000000002</v>
      </c>
      <c r="Z37" s="111">
        <f t="shared" si="1"/>
        <v>3.0616577235132555E-2</v>
      </c>
      <c r="AA37" s="111">
        <f>+Results!H6</f>
        <v>4.2734943345280871E-2</v>
      </c>
      <c r="AC37" s="119">
        <f>+AD37*H37</f>
        <v>37.864676000000046</v>
      </c>
      <c r="AD37" s="111">
        <f>+Results!K6</f>
        <v>3.6787572660085407E-2</v>
      </c>
      <c r="AF37" s="111">
        <f>(AA37-I37)/(1+I37)*M36</f>
        <v>4.228949723941202E-2</v>
      </c>
      <c r="AG37" s="111">
        <f>Y37/H37</f>
        <v>3.0616577235132555E-2</v>
      </c>
      <c r="AH37" s="111">
        <f>(-E37-(E37*G37*0.5))/(1+I37)*M36</f>
        <v>1.1760452294340539E-2</v>
      </c>
      <c r="AI37" s="111">
        <f>(-G37-(E37*G37*0.5))/(1+I37)*M36</f>
        <v>-8.7532290061070948E-5</v>
      </c>
      <c r="AJ37" s="111">
        <f t="shared" si="8"/>
        <v>7.57297175984354E-2</v>
      </c>
      <c r="AK37" s="111">
        <f t="shared" si="9"/>
        <v>3.6787572660085407E-2</v>
      </c>
      <c r="AL37" s="121">
        <f t="shared" si="12"/>
        <v>0.15480678749793281</v>
      </c>
      <c r="AM37" s="122"/>
      <c r="AW37" s="123"/>
      <c r="AX37" s="123"/>
      <c r="AY37" s="123"/>
    </row>
    <row r="38" spans="1:56" s="117" customFormat="1" ht="15.75" x14ac:dyDescent="0.35">
      <c r="A38" s="49"/>
      <c r="B38" s="91"/>
      <c r="C38" s="50">
        <v>2013</v>
      </c>
      <c r="D38" s="114">
        <f>[2]TRIM_dsa!C140</f>
        <v>93.291437500000001</v>
      </c>
      <c r="E38" s="111">
        <f>+Results!E7</f>
        <v>-1.2226878958204956E-2</v>
      </c>
      <c r="F38" s="115">
        <f t="shared" si="0"/>
        <v>100.80556096017925</v>
      </c>
      <c r="G38" s="111">
        <f>+Results!F7</f>
        <v>6.1905243277617927E-3</v>
      </c>
      <c r="H38" s="116">
        <f>([2]TRIM_dsa!G140)/1000</f>
        <v>1022.9880000000001</v>
      </c>
      <c r="I38" s="111">
        <f t="shared" si="3"/>
        <v>-6.1120454220866538E-3</v>
      </c>
      <c r="J38" s="111">
        <f>+Results!G7</f>
        <v>-9.484353352814251E-2</v>
      </c>
      <c r="L38" s="118">
        <f>([2]TRIM_dsa!I140)/1000</f>
        <v>960.67617399999995</v>
      </c>
      <c r="M38" s="111">
        <f>L38/$H38</f>
        <v>0.93908840963921369</v>
      </c>
      <c r="N38" s="111">
        <f>M38-M37</f>
        <v>7.9524968628564396E-2</v>
      </c>
      <c r="P38" s="118">
        <f>([2]TRIM_dsa!L140)/1000</f>
        <v>-72.576999999999998</v>
      </c>
      <c r="Q38" s="111">
        <f>P38/$H38</f>
        <v>-7.0946091254247362E-2</v>
      </c>
      <c r="R38" s="111" t="s">
        <v>31</v>
      </c>
      <c r="S38" s="111">
        <f>+Results!I7</f>
        <v>0</v>
      </c>
      <c r="T38" s="111"/>
      <c r="U38" s="119">
        <f>P38+Y38</f>
        <v>-37.481000000000002</v>
      </c>
      <c r="V38" s="111">
        <f t="shared" si="6"/>
        <v>-3.6638748450617209E-2</v>
      </c>
      <c r="W38" s="120">
        <f>+Results!J7</f>
        <v>0</v>
      </c>
      <c r="X38" s="120"/>
      <c r="Y38" s="118">
        <f>([2]TRIM_dsa!P140)/1000</f>
        <v>35.095999999999997</v>
      </c>
      <c r="Z38" s="111">
        <f t="shared" si="1"/>
        <v>3.4307342803630146E-2</v>
      </c>
      <c r="AA38" s="111">
        <f>+Results!H7</f>
        <v>3.9668572602404126E-2</v>
      </c>
      <c r="AC38" s="119">
        <f>+AD38*H38</f>
        <v>3.3685749999998507</v>
      </c>
      <c r="AD38" s="111">
        <f>+Results!K7</f>
        <v>3.2928783133329524E-3</v>
      </c>
      <c r="AF38" s="111">
        <f>(AA38-I38)/(1+I38)*M37</f>
        <v>3.9593341864614176E-2</v>
      </c>
      <c r="AG38" s="111">
        <f>Y38/H38</f>
        <v>3.4307342803630146E-2</v>
      </c>
      <c r="AH38" s="111">
        <f>(-E38-(E38*G38*0.5))/(1+I38)*M37</f>
        <v>1.0607139990212865E-2</v>
      </c>
      <c r="AI38" s="111">
        <f>(-G38-(E38*G38*0.5))/(1+I38)*M37</f>
        <v>-5.321140929228938E-3</v>
      </c>
      <c r="AJ38" s="111">
        <f t="shared" si="8"/>
        <v>3.6638748450617209E-2</v>
      </c>
      <c r="AK38" s="111">
        <f t="shared" si="9"/>
        <v>3.2928783133329524E-3</v>
      </c>
      <c r="AL38" s="121">
        <f t="shared" si="12"/>
        <v>7.9524968628564341E-2</v>
      </c>
      <c r="AM38" s="122"/>
      <c r="AX38" s="123"/>
      <c r="AY38" s="123"/>
      <c r="AZ38" s="123"/>
    </row>
    <row r="39" spans="1:56" s="117" customFormat="1" ht="15.75" x14ac:dyDescent="0.35">
      <c r="A39" s="49"/>
      <c r="B39" s="84" t="s">
        <v>42</v>
      </c>
      <c r="C39" s="51">
        <v>2014</v>
      </c>
      <c r="D39" s="112">
        <f>D38*(1+E39)</f>
        <v>94.444676560262067</v>
      </c>
      <c r="E39" s="111">
        <f>+Results!E8</f>
        <v>1.2361681748789283E-2</v>
      </c>
      <c r="F39" s="113">
        <f t="shared" ref="F39:F49" si="13">F38*(1+G39)</f>
        <v>101.28982245005712</v>
      </c>
      <c r="G39" s="111">
        <f>+Results!F8</f>
        <v>4.8039164235111897E-3</v>
      </c>
      <c r="H39" s="124">
        <f>H38*(1+I39)</f>
        <v>1040.6089505596242</v>
      </c>
      <c r="I39" s="111">
        <f>((1+E39)*(1+G39))-1</f>
        <v>1.7224982658275767E-2</v>
      </c>
      <c r="J39" s="111">
        <f>+Results!G8</f>
        <v>-8.3067928447544487E-2</v>
      </c>
      <c r="L39" s="119">
        <f>L38-P39+AC39</f>
        <v>1035.1693109283203</v>
      </c>
      <c r="M39" s="111">
        <f>L39/$H39</f>
        <v>0.99477263805161531</v>
      </c>
      <c r="N39" s="111">
        <f t="shared" ref="N39:N49" si="14">M39-M38</f>
        <v>5.5684228412401615E-2</v>
      </c>
      <c r="P39" s="114">
        <f t="shared" ref="P39:P49" si="15">Q39*H39</f>
        <v>-56.802784768806887</v>
      </c>
      <c r="Q39" s="125">
        <f t="shared" ref="Q39:Q42" si="16">SUM(R39:T39)</f>
        <v>-5.4586100511877379E-2</v>
      </c>
      <c r="R39" s="111">
        <f>J39*0.48</f>
        <v>-3.9872605654821355E-2</v>
      </c>
      <c r="S39" s="111">
        <f>+Results!I8</f>
        <v>-1.6817076184659724E-3</v>
      </c>
      <c r="T39" s="125">
        <f>W39-Z39</f>
        <v>-1.3031787238590054E-2</v>
      </c>
      <c r="U39" s="126">
        <f>P39+Y39</f>
        <v>-20.312430224615277</v>
      </c>
      <c r="V39" s="111">
        <f t="shared" si="6"/>
        <v>-1.9519753519025136E-2</v>
      </c>
      <c r="W39" s="120">
        <f>+Results!J8</f>
        <v>2.2034559754262197E-2</v>
      </c>
      <c r="X39" s="120"/>
      <c r="Y39" s="114">
        <f>AA39*L38</f>
        <v>36.490354544191611</v>
      </c>
      <c r="Z39" s="127">
        <f t="shared" si="1"/>
        <v>3.506634699285225E-2</v>
      </c>
      <c r="AA39" s="111">
        <f>+Results!H8</f>
        <v>3.7984032009720281E-2</v>
      </c>
      <c r="AC39" s="119">
        <f>+AD39*H39</f>
        <v>17.690352159513612</v>
      </c>
      <c r="AD39" s="111">
        <f>+Results!K8</f>
        <v>1.7000000000000001E-2</v>
      </c>
      <c r="AF39" s="128">
        <f>(AA39-I39)/(1+I39)*M38</f>
        <v>1.9164474893376606E-2</v>
      </c>
      <c r="AG39" s="128">
        <f>Y39/H39</f>
        <v>3.506634699285225E-2</v>
      </c>
      <c r="AH39" s="128">
        <f>(-E39-(E39*G39*0.5))/(1+I39)*M38</f>
        <v>-1.1439549650828476E-2</v>
      </c>
      <c r="AI39" s="128">
        <f>(-G39-(E39*G39*0.5))/(1+I39)*M38</f>
        <v>-4.4623224486471007E-3</v>
      </c>
      <c r="AJ39" s="111">
        <f t="shared" si="8"/>
        <v>1.9519753519025136E-2</v>
      </c>
      <c r="AK39" s="111">
        <f>+AD39</f>
        <v>1.7000000000000001E-2</v>
      </c>
      <c r="AL39" s="121">
        <f t="shared" si="12"/>
        <v>5.568422841240174E-2</v>
      </c>
      <c r="AM39" s="122"/>
      <c r="AY39" s="123"/>
      <c r="AZ39" s="123"/>
      <c r="BA39" s="123"/>
    </row>
    <row r="40" spans="1:56" s="117" customFormat="1" ht="15.75" x14ac:dyDescent="0.35">
      <c r="A40" s="49"/>
      <c r="B40" s="84"/>
      <c r="C40" s="51">
        <f>C39+1</f>
        <v>2015</v>
      </c>
      <c r="D40" s="112">
        <f>D39*(1+E40)</f>
        <v>96.100552174427094</v>
      </c>
      <c r="E40" s="111">
        <f>+Results!E9</f>
        <v>1.7532757530367104E-2</v>
      </c>
      <c r="F40" s="113">
        <f t="shared" si="13"/>
        <v>102.12025332153537</v>
      </c>
      <c r="G40" s="111">
        <f>+Results!F9</f>
        <v>8.1985618237974123E-3</v>
      </c>
      <c r="H40" s="124">
        <f>H39*(1+I40)</f>
        <v>1067.5347724543142</v>
      </c>
      <c r="I40" s="111">
        <f>((1+E40)*(1+G40))-1</f>
        <v>2.5875062750718936E-2</v>
      </c>
      <c r="J40" s="111">
        <f>+Results!G9</f>
        <v>-6.7181525695811387E-2</v>
      </c>
      <c r="L40" s="119">
        <f>L39-P40+AC40</f>
        <v>1085.8048380162047</v>
      </c>
      <c r="M40" s="111">
        <f t="shared" si="4"/>
        <v>1.0171142580394705</v>
      </c>
      <c r="N40" s="111">
        <f t="shared" si="14"/>
        <v>2.2341619987855221E-2</v>
      </c>
      <c r="P40" s="114">
        <f t="shared" si="15"/>
        <v>-44.764085839385643</v>
      </c>
      <c r="Q40" s="125">
        <f t="shared" si="16"/>
        <v>-4.1932203984766547E-2</v>
      </c>
      <c r="R40" s="111">
        <f t="shared" ref="R40:R49" si="17">J40*0.48</f>
        <v>-3.2247132333989466E-2</v>
      </c>
      <c r="S40" s="111">
        <f>+Results!I9</f>
        <v>0</v>
      </c>
      <c r="T40" s="125">
        <f>W40-Z40</f>
        <v>-9.6850716507770815E-3</v>
      </c>
      <c r="U40" s="126">
        <f>P40+Y40</f>
        <v>-6.1572906969274612</v>
      </c>
      <c r="V40" s="111">
        <f t="shared" si="6"/>
        <v>-5.767765936814921E-3</v>
      </c>
      <c r="W40" s="120">
        <f>+Results!J9</f>
        <v>2.6479366397174547E-2</v>
      </c>
      <c r="X40" s="120"/>
      <c r="Y40" s="114">
        <f>AA40*L39</f>
        <v>38.606795142458182</v>
      </c>
      <c r="Z40" s="127">
        <f t="shared" si="1"/>
        <v>3.6164438047951629E-2</v>
      </c>
      <c r="AA40" s="111">
        <f>+Results!H9</f>
        <v>3.7295150401856811E-2</v>
      </c>
      <c r="AC40" s="119">
        <f>+AD40*H40</f>
        <v>5.8714412484987282</v>
      </c>
      <c r="AD40" s="111">
        <f>+Results!K9</f>
        <v>5.5000000000000005E-3</v>
      </c>
      <c r="AF40" s="128">
        <f>(AA40-I40)/(1+I40)*M39</f>
        <v>1.1073854051040133E-2</v>
      </c>
      <c r="AG40" s="128">
        <f>Y40/H40</f>
        <v>3.6164438047951629E-2</v>
      </c>
      <c r="AH40" s="128">
        <f>(-E40-(E40*G40*0.5))/(1+I40)*M39</f>
        <v>-1.7070893031303269E-2</v>
      </c>
      <c r="AI40" s="128">
        <f>(-G40-(E40*G40*0.5))/(1+I40)*M39</f>
        <v>-8.019690965608171E-3</v>
      </c>
      <c r="AJ40" s="111">
        <f t="shared" si="8"/>
        <v>5.767765936814921E-3</v>
      </c>
      <c r="AK40" s="111">
        <f t="shared" ref="AK40:AK49" si="18">+AD40</f>
        <v>5.5000000000000005E-3</v>
      </c>
      <c r="AL40" s="121">
        <f t="shared" si="12"/>
        <v>2.2341619987855055E-2</v>
      </c>
      <c r="AM40" s="122"/>
      <c r="AZ40" s="123"/>
      <c r="BA40" s="123"/>
      <c r="BB40" s="123"/>
    </row>
    <row r="41" spans="1:56" s="117" customFormat="1" ht="15.75" x14ac:dyDescent="0.35">
      <c r="A41" s="24"/>
      <c r="B41" s="84"/>
      <c r="C41" s="51">
        <f t="shared" ref="C41:C49" si="19">C40+1</f>
        <v>2016</v>
      </c>
      <c r="D41" s="112">
        <f>D40*(1+E41)</f>
        <v>98.263316737547584</v>
      </c>
      <c r="E41" s="111">
        <f>+Results!E10</f>
        <v>2.2505225143711661E-2</v>
      </c>
      <c r="F41" s="113">
        <f t="shared" si="13"/>
        <v>103.29535138099183</v>
      </c>
      <c r="G41" s="111">
        <f>+Results!F10</f>
        <v>1.1507002981637315E-2</v>
      </c>
      <c r="H41" s="124">
        <f>H40*(1+I41)</f>
        <v>1104.1204656838122</v>
      </c>
      <c r="I41" s="111">
        <f>((1+E41)*(1+G41))-1</f>
        <v>3.4271195818180056E-2</v>
      </c>
      <c r="J41" s="111">
        <f>+Results!G10</f>
        <v>-4.8040789404767636E-2</v>
      </c>
      <c r="L41" s="119">
        <f>L40-P41+AC41</f>
        <v>1120.3480903152449</v>
      </c>
      <c r="M41" s="111">
        <f t="shared" si="4"/>
        <v>1.0146973316189574</v>
      </c>
      <c r="N41" s="111">
        <f t="shared" si="14"/>
        <v>-2.4169264205131658E-3</v>
      </c>
      <c r="P41" s="114">
        <f t="shared" si="15"/>
        <v>-30.678830669146986</v>
      </c>
      <c r="Q41" s="125">
        <f t="shared" si="16"/>
        <v>-2.7785763983775757E-2</v>
      </c>
      <c r="R41" s="111">
        <f t="shared" si="17"/>
        <v>-2.3059578914288465E-2</v>
      </c>
      <c r="S41" s="111">
        <f>+Results!I10</f>
        <v>0</v>
      </c>
      <c r="T41" s="125">
        <f>W41-Z41</f>
        <v>-4.7261850694872917E-3</v>
      </c>
      <c r="U41" s="126">
        <f>P41+Y41</f>
        <v>10.225068806399978</v>
      </c>
      <c r="V41" s="111">
        <f t="shared" si="6"/>
        <v>9.2608271689514528E-3</v>
      </c>
      <c r="W41" s="120">
        <f>+Results!J10</f>
        <v>3.2320406083239918E-2</v>
      </c>
      <c r="X41" s="120"/>
      <c r="Y41" s="114">
        <f>AA41*L40</f>
        <v>40.903899475546964</v>
      </c>
      <c r="Z41" s="127">
        <f t="shared" si="1"/>
        <v>3.704659115272721E-2</v>
      </c>
      <c r="AA41" s="111">
        <f>+Results!H10</f>
        <v>3.7671502321061229E-2</v>
      </c>
      <c r="AC41" s="119">
        <f>+AD41*H41</f>
        <v>3.8644216298933425</v>
      </c>
      <c r="AD41" s="111">
        <f>+Results!K10</f>
        <v>3.4999999999999996E-3</v>
      </c>
      <c r="AF41" s="128">
        <f>(AA41-I41)/(1+I41)*M40</f>
        <v>3.3439007484384773E-3</v>
      </c>
      <c r="AG41" s="128">
        <f>Y41/H41</f>
        <v>3.704659115272721E-2</v>
      </c>
      <c r="AH41" s="128">
        <f>(-E41-(E41*G41*0.5))/(1+I41)*M40</f>
        <v>-2.2259234650947146E-2</v>
      </c>
      <c r="AI41" s="128">
        <f>(-G41-(E41*G41*0.5))/(1+I41)*M40</f>
        <v>-1.1443455753341618E-2</v>
      </c>
      <c r="AJ41" s="111">
        <f t="shared" si="8"/>
        <v>-9.2608271689514528E-3</v>
      </c>
      <c r="AK41" s="111">
        <f t="shared" si="18"/>
        <v>3.4999999999999996E-3</v>
      </c>
      <c r="AL41" s="121">
        <f t="shared" si="12"/>
        <v>-2.4169264205129758E-3</v>
      </c>
      <c r="AM41" s="122"/>
      <c r="BA41" s="123"/>
      <c r="BB41" s="123"/>
      <c r="BC41" s="123"/>
      <c r="BD41" s="123"/>
    </row>
    <row r="42" spans="1:56" s="117" customFormat="1" ht="15.75" x14ac:dyDescent="0.35">
      <c r="A42" s="24"/>
      <c r="B42" s="84"/>
      <c r="C42" s="51">
        <f t="shared" si="19"/>
        <v>2017</v>
      </c>
      <c r="D42" s="112">
        <f>D41*(1+E42)</f>
        <v>101.16449554762539</v>
      </c>
      <c r="E42" s="111">
        <f>+Results!E11</f>
        <v>2.9524535771844645E-2</v>
      </c>
      <c r="F42" s="113">
        <f t="shared" si="13"/>
        <v>104.8675121013047</v>
      </c>
      <c r="G42" s="111">
        <f>+Results!F11</f>
        <v>1.5220052977158227E-2</v>
      </c>
      <c r="H42" s="124">
        <f>H41*(1+I42)</f>
        <v>1154.0200349416789</v>
      </c>
      <c r="I42" s="111">
        <f>((1+E42)*(1+G42))-1</f>
        <v>4.5193953747576288E-2</v>
      </c>
      <c r="J42" s="111">
        <f>+Results!G11</f>
        <v>-2.4458949712441325E-2</v>
      </c>
      <c r="L42" s="119">
        <f>L41-P42+AC42</f>
        <v>1137.0195713418075</v>
      </c>
      <c r="M42" s="128">
        <f>L42/$H42</f>
        <v>0.98526848487450169</v>
      </c>
      <c r="N42" s="111">
        <f t="shared" si="14"/>
        <v>-2.9428846744455672E-2</v>
      </c>
      <c r="P42" s="114">
        <f t="shared" si="15"/>
        <v>-12.632410904266528</v>
      </c>
      <c r="Q42" s="125">
        <f t="shared" si="16"/>
        <v>-1.0946439855270742E-2</v>
      </c>
      <c r="R42" s="111">
        <f t="shared" si="17"/>
        <v>-1.1740295861971835E-2</v>
      </c>
      <c r="S42" s="111">
        <f>+Results!I11</f>
        <v>0</v>
      </c>
      <c r="T42" s="125">
        <f>W42-Z42</f>
        <v>7.9385600670109358E-4</v>
      </c>
      <c r="U42" s="126">
        <f>P42+Y42</f>
        <v>30.746174504332416</v>
      </c>
      <c r="V42" s="111">
        <f t="shared" si="6"/>
        <v>2.664266960138716E-2</v>
      </c>
      <c r="W42" s="120">
        <f>+Results!J11</f>
        <v>3.8382965463358995E-2</v>
      </c>
      <c r="X42" s="120"/>
      <c r="Y42" s="114">
        <f>AA42*L41</f>
        <v>43.378585408598944</v>
      </c>
      <c r="Z42" s="127">
        <f t="shared" si="1"/>
        <v>3.7589109456657901E-2</v>
      </c>
      <c r="AA42" s="111">
        <f>+Results!H11</f>
        <v>3.8718846208228928E-2</v>
      </c>
      <c r="AC42" s="119">
        <f>+AD42*H42</f>
        <v>4.0390701222958754</v>
      </c>
      <c r="AD42" s="111">
        <f>+Results!K11</f>
        <v>3.4999999999999996E-3</v>
      </c>
      <c r="AF42" s="128">
        <f>(AA42-I42)/(1+I42)*M41</f>
        <v>-6.2861771430686433E-3</v>
      </c>
      <c r="AG42" s="128">
        <f>Y42/H42</f>
        <v>3.7589109456657901E-2</v>
      </c>
      <c r="AH42" s="128">
        <f>(-E42-(E42*G42*0.5))/(1+I42)*M41</f>
        <v>-2.8881196919703239E-2</v>
      </c>
      <c r="AI42" s="128">
        <f>(-G42-(E42*G42*0.5))/(1+I42)*M41</f>
        <v>-1.4994089680023366E-2</v>
      </c>
      <c r="AJ42" s="111">
        <f t="shared" si="8"/>
        <v>-2.664266960138716E-2</v>
      </c>
      <c r="AK42" s="111">
        <f t="shared" si="18"/>
        <v>3.4999999999999996E-3</v>
      </c>
      <c r="AL42" s="121">
        <f t="shared" si="12"/>
        <v>-2.9428846744455801E-2</v>
      </c>
      <c r="AM42" s="122"/>
      <c r="BB42" s="123"/>
      <c r="BC42" s="123"/>
      <c r="BD42" s="123"/>
    </row>
    <row r="43" spans="1:56" s="117" customFormat="1" ht="15.75" customHeight="1" x14ac:dyDescent="0.35">
      <c r="A43" s="24"/>
      <c r="B43" s="92" t="s">
        <v>43</v>
      </c>
      <c r="C43" s="52">
        <f t="shared" si="19"/>
        <v>2018</v>
      </c>
      <c r="D43" s="112">
        <f t="shared" ref="D43:D49" si="20">D42*(1+E43)</f>
        <v>102.76745605041386</v>
      </c>
      <c r="E43" s="111">
        <f>+Results!E12</f>
        <v>1.5845089664227485E-2</v>
      </c>
      <c r="F43" s="129">
        <f t="shared" si="13"/>
        <v>106.63068824182317</v>
      </c>
      <c r="G43" s="111">
        <f>+Results!F12</f>
        <v>1.6813368651438818E-2</v>
      </c>
      <c r="H43" s="130">
        <f>H42*(1+I43)</f>
        <v>1192.0159918570121</v>
      </c>
      <c r="I43" s="125">
        <f t="shared" ref="I43:I49" si="21">((1+E43)*(1+G43))-1</f>
        <v>3.2924867649506195E-2</v>
      </c>
      <c r="J43" s="111">
        <f>+Results!G12</f>
        <v>-1.6305966474960881E-2</v>
      </c>
      <c r="L43" s="130">
        <f>L42-P43+AC43</f>
        <v>1145.326612933947</v>
      </c>
      <c r="M43" s="125">
        <f t="shared" ref="M43:M49" si="22">L43/$H43</f>
        <v>0.96083158343343289</v>
      </c>
      <c r="N43" s="125">
        <f t="shared" si="14"/>
        <v>-2.4436901441068803E-2</v>
      </c>
      <c r="P43" s="130">
        <f t="shared" si="15"/>
        <v>-8.3070415921395657</v>
      </c>
      <c r="Q43" s="125">
        <f t="shared" ref="Q43:Q49" si="23">SUM(R43:T43)</f>
        <v>-6.9689011295882303E-3</v>
      </c>
      <c r="R43" s="125">
        <f t="shared" si="17"/>
        <v>-7.8268639079812231E-3</v>
      </c>
      <c r="S43" s="111">
        <f>+Results!I12</f>
        <v>0</v>
      </c>
      <c r="T43" s="125">
        <f>W43-Z43</f>
        <v>8.5796277839299273E-4</v>
      </c>
      <c r="U43" s="126">
        <f>P43+Y43</f>
        <v>36.423361702817232</v>
      </c>
      <c r="V43" s="111">
        <f t="shared" si="6"/>
        <v>3.0556101555377777E-2</v>
      </c>
      <c r="W43" s="120">
        <f>+Results!J12</f>
        <v>3.8382965463358995E-2</v>
      </c>
      <c r="X43" s="120">
        <v>1E-3</v>
      </c>
      <c r="Y43" s="130">
        <f>AA43*L42</f>
        <v>44.730403294956794</v>
      </c>
      <c r="Z43" s="125">
        <f t="shared" si="1"/>
        <v>3.7525002684966002E-2</v>
      </c>
      <c r="AA43" s="111">
        <f>+Results!H12</f>
        <v>3.9340046928277604E-2</v>
      </c>
      <c r="AC43" s="119">
        <f>+AD43*H43</f>
        <v>0</v>
      </c>
      <c r="AD43" s="111">
        <f>+Results!K12</f>
        <v>0</v>
      </c>
      <c r="AF43" s="131">
        <f>(AA43-I43)/(1+I43)*M42</f>
        <v>6.119200114308939E-3</v>
      </c>
      <c r="AG43" s="131">
        <f>Y43/H43</f>
        <v>3.7525002684966002E-2</v>
      </c>
      <c r="AH43" s="131">
        <f>(-E43-(E43*G43*0.5))/(1+I43)*M42</f>
        <v>-1.524109868934854E-2</v>
      </c>
      <c r="AI43" s="131">
        <f>(-G43-(E43*G43*0.5))/(1+I43)*M42</f>
        <v>-1.616470388130839E-2</v>
      </c>
      <c r="AJ43" s="125">
        <f t="shared" si="8"/>
        <v>-3.0556101555377777E-2</v>
      </c>
      <c r="AK43" s="125">
        <f t="shared" si="18"/>
        <v>0</v>
      </c>
      <c r="AL43" s="132">
        <f t="shared" si="12"/>
        <v>-2.4436901441068838E-2</v>
      </c>
      <c r="AM43" s="122"/>
      <c r="BC43" s="123"/>
      <c r="BD43" s="123"/>
    </row>
    <row r="44" spans="1:56" s="117" customFormat="1" ht="15.75" x14ac:dyDescent="0.35">
      <c r="A44" s="24"/>
      <c r="B44" s="92"/>
      <c r="C44" s="52">
        <f>C43+1</f>
        <v>2019</v>
      </c>
      <c r="D44" s="112">
        <f t="shared" si="20"/>
        <v>104.99105716955579</v>
      </c>
      <c r="E44" s="111">
        <f>+Results!E13</f>
        <v>2.1637210889516645E-2</v>
      </c>
      <c r="F44" s="129">
        <f t="shared" si="13"/>
        <v>108.5934056597246</v>
      </c>
      <c r="G44" s="111">
        <f>+Results!F13</f>
        <v>1.8406684325719409E-2</v>
      </c>
      <c r="H44" s="130">
        <f t="shared" ref="H44:H49" si="24">H43*(1+I44)</f>
        <v>1240.2236987170404</v>
      </c>
      <c r="I44" s="125">
        <f t="shared" si="21"/>
        <v>4.0442164525768431E-2</v>
      </c>
      <c r="J44" s="111">
        <f>+Results!G13</f>
        <v>-8.1529832374804389E-3</v>
      </c>
      <c r="L44" s="130">
        <f>L43-P44+AC44</f>
        <v>1148.7515722049377</v>
      </c>
      <c r="M44" s="125">
        <f t="shared" si="22"/>
        <v>0.92624546151897691</v>
      </c>
      <c r="N44" s="125">
        <f t="shared" si="14"/>
        <v>-3.4586121914455981E-2</v>
      </c>
      <c r="P44" s="130">
        <f t="shared" si="15"/>
        <v>-3.4249592709907546</v>
      </c>
      <c r="Q44" s="125">
        <f t="shared" si="23"/>
        <v>-2.7615657357085918E-3</v>
      </c>
      <c r="R44" s="125">
        <f t="shared" si="17"/>
        <v>-3.9134319539906107E-3</v>
      </c>
      <c r="S44" s="111">
        <f>+Results!I13</f>
        <v>0</v>
      </c>
      <c r="T44" s="125">
        <f>W44-Z44</f>
        <v>1.1518662182820188E-3</v>
      </c>
      <c r="U44" s="126">
        <f>P44+Y44</f>
        <v>42.749932342039827</v>
      </c>
      <c r="V44" s="111">
        <f t="shared" si="6"/>
        <v>3.4469533509368384E-2</v>
      </c>
      <c r="W44" s="120">
        <f>+Results!J13</f>
        <v>3.8382965463358995E-2</v>
      </c>
      <c r="X44" s="120">
        <v>0</v>
      </c>
      <c r="Y44" s="130">
        <f>AA44*L43</f>
        <v>46.174891613030582</v>
      </c>
      <c r="Z44" s="125">
        <f t="shared" si="1"/>
        <v>3.7231099245076976E-2</v>
      </c>
      <c r="AA44" s="111">
        <f>+Results!H13</f>
        <v>4.0315916081567177E-2</v>
      </c>
      <c r="AC44" s="119">
        <f>+AD44*H44</f>
        <v>0</v>
      </c>
      <c r="AD44" s="111">
        <f>+Results!K13</f>
        <v>0</v>
      </c>
      <c r="AF44" s="131">
        <f>(AA44-I44)/(1+I44)*M43</f>
        <v>-1.1658840508755117E-4</v>
      </c>
      <c r="AG44" s="131">
        <f>Y44/H44</f>
        <v>3.7231099245076976E-2</v>
      </c>
      <c r="AH44" s="131">
        <f>(-E44-(E44*G44*0.5))/(1+I44)*M43</f>
        <v>-2.0165513453365654E-2</v>
      </c>
      <c r="AI44" s="131">
        <f>(-G44-(E44*G44*0.5))/(1+I44)*M43</f>
        <v>-1.7182174196798846E-2</v>
      </c>
      <c r="AJ44" s="125">
        <f t="shared" si="8"/>
        <v>-3.4469533509368384E-2</v>
      </c>
      <c r="AK44" s="125">
        <f t="shared" si="18"/>
        <v>0</v>
      </c>
      <c r="AL44" s="132">
        <f t="shared" si="12"/>
        <v>-3.4586121914455939E-2</v>
      </c>
      <c r="AM44" s="122"/>
      <c r="BD44" s="123"/>
    </row>
    <row r="45" spans="1:56" s="117" customFormat="1" ht="15.75" x14ac:dyDescent="0.35">
      <c r="A45" s="24"/>
      <c r="B45" s="92"/>
      <c r="C45" s="52">
        <f t="shared" si="19"/>
        <v>2020</v>
      </c>
      <c r="D45" s="112">
        <f t="shared" si="20"/>
        <v>107.63029961123473</v>
      </c>
      <c r="E45" s="111">
        <f>+Results!E14</f>
        <v>2.5137783282024539E-2</v>
      </c>
      <c r="F45" s="129">
        <f t="shared" si="13"/>
        <v>110.76527377291909</v>
      </c>
      <c r="G45" s="111">
        <f>+Results!F14</f>
        <v>0.02</v>
      </c>
      <c r="H45" s="130">
        <f>H44*(1+I45)</f>
        <v>1296.8281767421527</v>
      </c>
      <c r="I45" s="125">
        <f t="shared" si="21"/>
        <v>4.5640538947665066E-2</v>
      </c>
      <c r="J45" s="111">
        <f>+Results!G14</f>
        <v>0</v>
      </c>
      <c r="L45" s="130">
        <f>L44-P45+AC45</f>
        <v>1146.1856532418376</v>
      </c>
      <c r="M45" s="125">
        <f t="shared" si="22"/>
        <v>0.88383771558792468</v>
      </c>
      <c r="N45" s="125">
        <f t="shared" si="14"/>
        <v>-4.2407745931052232E-2</v>
      </c>
      <c r="P45" s="130">
        <f t="shared" si="15"/>
        <v>2.5659189631000641</v>
      </c>
      <c r="Q45" s="125">
        <f t="shared" si="23"/>
        <v>1.9786113604857644E-3</v>
      </c>
      <c r="R45" s="125">
        <f t="shared" si="17"/>
        <v>0</v>
      </c>
      <c r="S45" s="111">
        <f>+Results!I14</f>
        <v>0</v>
      </c>
      <c r="T45" s="125">
        <f>W45-Z45</f>
        <v>1.9786113604857644E-3</v>
      </c>
      <c r="U45" s="126">
        <f>P45+Y45</f>
        <v>49.776111119804867</v>
      </c>
      <c r="V45" s="111">
        <f t="shared" si="6"/>
        <v>3.8382965463359002E-2</v>
      </c>
      <c r="W45" s="120">
        <f>+Results!J14</f>
        <v>3.8382965463358995E-2</v>
      </c>
      <c r="X45" s="120">
        <v>0</v>
      </c>
      <c r="Y45" s="130">
        <f>AA45*L44</f>
        <v>47.2101921567048</v>
      </c>
      <c r="Z45" s="125">
        <f t="shared" si="1"/>
        <v>3.6404354102873231E-2</v>
      </c>
      <c r="AA45" s="111">
        <f>+Results!H14</f>
        <v>4.1096955424477527E-2</v>
      </c>
      <c r="AC45" s="119">
        <f>+AD45*H45</f>
        <v>0</v>
      </c>
      <c r="AD45" s="111">
        <f>+Results!K14</f>
        <v>0</v>
      </c>
      <c r="AF45" s="131">
        <f>(AA45-I45)/(1+I45)*M44</f>
        <v>-4.0247804676933029E-3</v>
      </c>
      <c r="AG45" s="131">
        <f>Y45/H45</f>
        <v>3.6404354102873231E-2</v>
      </c>
      <c r="AH45" s="131">
        <f>(-E45-(E45*G45*0.5))/(1+I45)*M44</f>
        <v>-2.2490133443053215E-2</v>
      </c>
      <c r="AI45" s="131">
        <f>(-G45-(E45*G45*0.5))/(1+I45)*M44</f>
        <v>-1.7939001127513288E-2</v>
      </c>
      <c r="AJ45" s="125">
        <f t="shared" si="8"/>
        <v>-3.8382965463359002E-2</v>
      </c>
      <c r="AK45" s="125">
        <f t="shared" si="18"/>
        <v>0</v>
      </c>
      <c r="AL45" s="132">
        <f t="shared" si="12"/>
        <v>-4.2407745931052301E-2</v>
      </c>
      <c r="AM45" s="122"/>
    </row>
    <row r="46" spans="1:56" s="117" customFormat="1" ht="15.75" x14ac:dyDescent="0.35">
      <c r="A46" s="24"/>
      <c r="B46" s="92"/>
      <c r="C46" s="52">
        <f t="shared" si="19"/>
        <v>2021</v>
      </c>
      <c r="D46" s="112">
        <f t="shared" si="20"/>
        <v>109.70117786774853</v>
      </c>
      <c r="E46" s="111">
        <f>+Results!E15</f>
        <v>1.9240662378474216E-2</v>
      </c>
      <c r="F46" s="129">
        <f t="shared" si="13"/>
        <v>112.98057924837747</v>
      </c>
      <c r="G46" s="111">
        <f>+Results!F15</f>
        <v>0.02</v>
      </c>
      <c r="H46" s="130">
        <f t="shared" si="24"/>
        <v>1348.2156100508155</v>
      </c>
      <c r="I46" s="125">
        <f t="shared" si="21"/>
        <v>3.9625475626043682E-2</v>
      </c>
      <c r="J46" s="111">
        <f>+Results!G15</f>
        <v>0</v>
      </c>
      <c r="L46" s="130">
        <f>L45-P46+AC46</f>
        <v>1142.4986070646837</v>
      </c>
      <c r="M46" s="125">
        <f t="shared" si="22"/>
        <v>0.84741535296540726</v>
      </c>
      <c r="N46" s="125">
        <f t="shared" si="14"/>
        <v>-3.6422362622517412E-2</v>
      </c>
      <c r="P46" s="130">
        <f t="shared" si="15"/>
        <v>3.687046177153829</v>
      </c>
      <c r="Q46" s="125">
        <f t="shared" si="23"/>
        <v>2.7347600410997028E-3</v>
      </c>
      <c r="R46" s="125">
        <f t="shared" si="17"/>
        <v>0</v>
      </c>
      <c r="S46" s="111">
        <f>+Results!I15</f>
        <v>0</v>
      </c>
      <c r="T46" s="125">
        <f>W46-Z46</f>
        <v>2.7347600410997028E-3</v>
      </c>
      <c r="U46" s="126">
        <f>P46+Y46</f>
        <v>51.748513197741936</v>
      </c>
      <c r="V46" s="111">
        <f t="shared" si="6"/>
        <v>3.8382965463359002E-2</v>
      </c>
      <c r="W46" s="120">
        <f>+Results!J15</f>
        <v>3.8382965463358995E-2</v>
      </c>
      <c r="X46" s="120">
        <v>-1E-3</v>
      </c>
      <c r="Y46" s="130">
        <f>AA46*L45</f>
        <v>48.061467020588104</v>
      </c>
      <c r="Z46" s="125">
        <f t="shared" si="1"/>
        <v>3.5648205422259292E-2</v>
      </c>
      <c r="AA46" s="111">
        <f>+Results!H15</f>
        <v>4.1931659923200464E-2</v>
      </c>
      <c r="AC46" s="119">
        <f>+AD46*H46</f>
        <v>0</v>
      </c>
      <c r="AD46" s="111">
        <f>+Results!K15</f>
        <v>0</v>
      </c>
      <c r="AF46" s="131">
        <f>(AA46-I46)/(1+I46)*M45</f>
        <v>1.9606028408416694E-3</v>
      </c>
      <c r="AG46" s="131">
        <f>Y46/H46</f>
        <v>3.5648205422259292E-2</v>
      </c>
      <c r="AH46" s="131">
        <f>(-E46-(E46*G46*0.5))/(1+I46)*M45</f>
        <v>-1.6521025808333704E-2</v>
      </c>
      <c r="AI46" s="131">
        <f>(-G46-(E46*G46*0.5))/(1+I46)*M45</f>
        <v>-1.716657677308394E-2</v>
      </c>
      <c r="AJ46" s="125">
        <f t="shared" si="8"/>
        <v>-3.8382965463359002E-2</v>
      </c>
      <c r="AK46" s="125">
        <f t="shared" si="18"/>
        <v>0</v>
      </c>
      <c r="AL46" s="132">
        <f t="shared" si="12"/>
        <v>-3.6422362622517329E-2</v>
      </c>
      <c r="AM46" s="122"/>
    </row>
    <row r="47" spans="1:56" s="117" customFormat="1" ht="15.75" x14ac:dyDescent="0.35">
      <c r="A47" s="24"/>
      <c r="B47" s="92"/>
      <c r="C47" s="52">
        <f t="shared" si="19"/>
        <v>2022</v>
      </c>
      <c r="D47" s="112">
        <f t="shared" si="20"/>
        <v>112.01006843876725</v>
      </c>
      <c r="E47" s="111">
        <f>+Results!E16</f>
        <v>2.1047090066819818E-2</v>
      </c>
      <c r="F47" s="129">
        <f t="shared" si="13"/>
        <v>115.24019083334503</v>
      </c>
      <c r="G47" s="111">
        <f>+Results!F16</f>
        <v>0.02</v>
      </c>
      <c r="H47" s="130">
        <f>H46*(1+I47)</f>
        <v>1404.1234579335483</v>
      </c>
      <c r="I47" s="125">
        <f t="shared" si="21"/>
        <v>4.1468031868156174E-2</v>
      </c>
      <c r="J47" s="111">
        <f>+Results!G16</f>
        <v>0</v>
      </c>
      <c r="L47" s="130">
        <f>L46-P47+AC47</f>
        <v>1137.4648537730448</v>
      </c>
      <c r="M47" s="125">
        <f t="shared" si="22"/>
        <v>0.81008891871022115</v>
      </c>
      <c r="N47" s="125">
        <f t="shared" si="14"/>
        <v>-3.7326434255186114E-2</v>
      </c>
      <c r="P47" s="130">
        <f t="shared" si="15"/>
        <v>5.0337532916389147</v>
      </c>
      <c r="Q47" s="125">
        <f t="shared" si="23"/>
        <v>3.5849791292904554E-3</v>
      </c>
      <c r="R47" s="125">
        <f t="shared" si="17"/>
        <v>0</v>
      </c>
      <c r="S47" s="111">
        <f>+Results!I16</f>
        <v>0</v>
      </c>
      <c r="T47" s="125">
        <f>W47-Z47</f>
        <v>3.5849791292904554E-3</v>
      </c>
      <c r="U47" s="126">
        <f>P47+Y47</f>
        <v>53.894422192155588</v>
      </c>
      <c r="V47" s="111">
        <f t="shared" si="6"/>
        <v>3.8382965463358995E-2</v>
      </c>
      <c r="W47" s="120">
        <f>+Results!J16</f>
        <v>3.8382965463358995E-2</v>
      </c>
      <c r="X47" s="120">
        <v>-1E-3</v>
      </c>
      <c r="Y47" s="130">
        <f>AA47*L46</f>
        <v>48.860668900516671</v>
      </c>
      <c r="Z47" s="125">
        <f t="shared" si="1"/>
        <v>3.479798633406854E-2</v>
      </c>
      <c r="AA47" s="111">
        <f>+Results!H16</f>
        <v>4.2766501944409265E-2</v>
      </c>
      <c r="AC47" s="119">
        <f>+AD47*H47</f>
        <v>0</v>
      </c>
      <c r="AD47" s="111">
        <f>+Results!K16</f>
        <v>0</v>
      </c>
      <c r="AF47" s="131">
        <f>(AA47-I47)/(1+I47)*M46</f>
        <v>1.0565312081728196E-3</v>
      </c>
      <c r="AG47" s="131">
        <f>Y47/H47</f>
        <v>3.479798633406854E-2</v>
      </c>
      <c r="AH47" s="131">
        <f>(-E47-(E47*G47*0.5))/(1+I47)*M46</f>
        <v>-1.729672249097703E-2</v>
      </c>
      <c r="AI47" s="131">
        <f>(-G47-(E47*G47*0.5))/(1+I47)*M46</f>
        <v>-1.6444732634918715E-2</v>
      </c>
      <c r="AJ47" s="125">
        <f t="shared" si="8"/>
        <v>-3.8382965463358995E-2</v>
      </c>
      <c r="AK47" s="125">
        <f t="shared" si="18"/>
        <v>0</v>
      </c>
      <c r="AL47" s="132">
        <f t="shared" si="12"/>
        <v>-3.7326434255186176E-2</v>
      </c>
      <c r="AM47" s="122"/>
    </row>
    <row r="48" spans="1:56" s="117" customFormat="1" ht="15.75" x14ac:dyDescent="0.35">
      <c r="A48" s="24"/>
      <c r="B48" s="92"/>
      <c r="C48" s="52">
        <f>C47+1</f>
        <v>2023</v>
      </c>
      <c r="D48" s="112">
        <f t="shared" si="20"/>
        <v>114.45900733139332</v>
      </c>
      <c r="E48" s="111">
        <f>+Results!E17</f>
        <v>2.1863560363458268E-2</v>
      </c>
      <c r="F48" s="129">
        <f t="shared" si="13"/>
        <v>117.54499465001193</v>
      </c>
      <c r="G48" s="111">
        <f>+Results!F17</f>
        <v>0.02</v>
      </c>
      <c r="H48" s="130">
        <f>H47*(1+I48)</f>
        <v>1463.5190478321026</v>
      </c>
      <c r="I48" s="125">
        <f t="shared" si="21"/>
        <v>4.2300831570727393E-2</v>
      </c>
      <c r="J48" s="111">
        <f>+Results!G17</f>
        <v>0</v>
      </c>
      <c r="L48" s="130">
        <f>L47-P48+AC48</f>
        <v>1131.0913427960074</v>
      </c>
      <c r="M48" s="125">
        <f t="shared" si="22"/>
        <v>0.7728572747115815</v>
      </c>
      <c r="N48" s="125">
        <f t="shared" si="14"/>
        <v>-3.7231643998639652E-2</v>
      </c>
      <c r="P48" s="130">
        <f t="shared" si="15"/>
        <v>6.3735109770372844</v>
      </c>
      <c r="Q48" s="125">
        <f t="shared" si="23"/>
        <v>4.3549217801287302E-3</v>
      </c>
      <c r="R48" s="125">
        <f t="shared" si="17"/>
        <v>0</v>
      </c>
      <c r="S48" s="111">
        <f>+Results!I17</f>
        <v>0</v>
      </c>
      <c r="T48" s="125">
        <f>W48-Z48</f>
        <v>4.3549217801287302E-3</v>
      </c>
      <c r="U48" s="126">
        <f>P48+Y48</f>
        <v>56.174201067907632</v>
      </c>
      <c r="V48" s="111">
        <f t="shared" si="6"/>
        <v>3.8382965463358995E-2</v>
      </c>
      <c r="W48" s="120">
        <f>+Results!J17</f>
        <v>3.8382965463358995E-2</v>
      </c>
      <c r="X48" s="120">
        <v>-2E-3</v>
      </c>
      <c r="Y48" s="130">
        <f>AA48*L47</f>
        <v>49.800690090870347</v>
      </c>
      <c r="Z48" s="125">
        <f t="shared" si="1"/>
        <v>3.4028043683230265E-2</v>
      </c>
      <c r="AA48" s="111">
        <f>+Results!H17</f>
        <v>4.3782179225738911E-2</v>
      </c>
      <c r="AC48" s="119">
        <f>+AD48*H48</f>
        <v>0</v>
      </c>
      <c r="AD48" s="111">
        <f>+Results!K17</f>
        <v>0</v>
      </c>
      <c r="AF48" s="131">
        <f>(AA48-I48)/(1+I48)*M47</f>
        <v>1.1513214647193462E-3</v>
      </c>
      <c r="AG48" s="131">
        <f>Y48/H48</f>
        <v>3.4028043683230265E-2</v>
      </c>
      <c r="AH48" s="131">
        <f>(-E48-(E48*G48*0.5))/(1+I48)*M47</f>
        <v>-1.7162552030944619E-2</v>
      </c>
      <c r="AI48" s="131">
        <f>(-G48-(E48*G48*0.5))/(1+I48)*M47</f>
        <v>-1.571417018756633E-2</v>
      </c>
      <c r="AJ48" s="125">
        <f t="shared" si="8"/>
        <v>-3.8382965463358995E-2</v>
      </c>
      <c r="AK48" s="125">
        <f t="shared" si="18"/>
        <v>0</v>
      </c>
      <c r="AL48" s="132">
        <f t="shared" si="12"/>
        <v>-3.7231643998639652E-2</v>
      </c>
      <c r="AM48" s="122"/>
    </row>
    <row r="49" spans="1:39" s="117" customFormat="1" ht="15.75" x14ac:dyDescent="0.35">
      <c r="A49" s="24"/>
      <c r="B49" s="92"/>
      <c r="C49" s="52">
        <f t="shared" si="19"/>
        <v>2024</v>
      </c>
      <c r="D49" s="112">
        <f t="shared" si="20"/>
        <v>116.14595365796893</v>
      </c>
      <c r="E49" s="111">
        <f>+Results!E18</f>
        <v>1.473843226415017E-2</v>
      </c>
      <c r="F49" s="129">
        <f t="shared" si="13"/>
        <v>119.89589454301218</v>
      </c>
      <c r="G49" s="111">
        <f>+Results!F18</f>
        <v>0.02</v>
      </c>
      <c r="H49" s="130">
        <f t="shared" si="24"/>
        <v>1514.790804669587</v>
      </c>
      <c r="I49" s="125">
        <f t="shared" si="21"/>
        <v>3.5033200909433182E-2</v>
      </c>
      <c r="J49" s="111">
        <f>+Results!G18</f>
        <v>0</v>
      </c>
      <c r="L49" s="130">
        <f>L48-P49+AC49</f>
        <v>1123.543139819247</v>
      </c>
      <c r="M49" s="125">
        <f t="shared" si="22"/>
        <v>0.74171505158055095</v>
      </c>
      <c r="N49" s="125">
        <f t="shared" si="14"/>
        <v>-3.1142223131030544E-2</v>
      </c>
      <c r="P49" s="130">
        <f t="shared" si="15"/>
        <v>7.548202976760499</v>
      </c>
      <c r="Q49" s="125">
        <f t="shared" si="23"/>
        <v>4.9830002621430933E-3</v>
      </c>
      <c r="R49" s="125">
        <f t="shared" si="17"/>
        <v>0</v>
      </c>
      <c r="S49" s="111">
        <f>+Results!I18</f>
        <v>0</v>
      </c>
      <c r="T49" s="125">
        <f>W49-Z49</f>
        <v>4.9830002621430933E-3</v>
      </c>
      <c r="U49" s="126">
        <f>P49+Y49</f>
        <v>58.142163139846538</v>
      </c>
      <c r="V49" s="111">
        <f t="shared" si="6"/>
        <v>3.8382965463358995E-2</v>
      </c>
      <c r="W49" s="120">
        <f>+Results!J18</f>
        <v>3.8382965463358995E-2</v>
      </c>
      <c r="X49" s="120">
        <v>-3.0000000000000001E-3</v>
      </c>
      <c r="Y49" s="130">
        <f>AA49*L48</f>
        <v>50.593960163086038</v>
      </c>
      <c r="Z49" s="125">
        <f t="shared" si="1"/>
        <v>3.3399965201215902E-2</v>
      </c>
      <c r="AA49" s="111">
        <f>+Results!H18</f>
        <v>4.4730216074344645E-2</v>
      </c>
      <c r="AC49" s="119">
        <f>+AD49*H49</f>
        <v>0</v>
      </c>
      <c r="AD49" s="111">
        <f>+Results!K18</f>
        <v>0</v>
      </c>
      <c r="AF49" s="131">
        <f>(AA49-I49)/(1+I49)*M48</f>
        <v>7.24074233232845E-3</v>
      </c>
      <c r="AG49" s="131">
        <f>Y49/H49</f>
        <v>3.3399965201215902E-2</v>
      </c>
      <c r="AH49" s="131">
        <f>(-E49-(E49*G49*0.5))/(1+I49)*M48</f>
        <v>-1.1115210245445003E-2</v>
      </c>
      <c r="AI49" s="131">
        <f>(-G49-(E49*G49*0.5))/(1+I49)*M48</f>
        <v>-1.5044012623442446E-2</v>
      </c>
      <c r="AJ49" s="125">
        <f t="shared" si="8"/>
        <v>-3.8382965463358995E-2</v>
      </c>
      <c r="AK49" s="125">
        <f t="shared" si="18"/>
        <v>0</v>
      </c>
      <c r="AL49" s="132">
        <f t="shared" si="12"/>
        <v>-3.1142223131030544E-2</v>
      </c>
      <c r="AM49" s="122"/>
    </row>
    <row r="50" spans="1:39" x14ac:dyDescent="0.3">
      <c r="AA50" s="53"/>
      <c r="AJ50" s="54"/>
      <c r="AM50" s="24"/>
    </row>
    <row r="51" spans="1:39" x14ac:dyDescent="0.3">
      <c r="I51" s="55"/>
      <c r="AA51" s="53"/>
      <c r="AI51" s="56"/>
      <c r="AM51" s="24"/>
    </row>
    <row r="52" spans="1:39" x14ac:dyDescent="0.3">
      <c r="U52" s="39"/>
      <c r="AI52" s="56"/>
      <c r="AM52" s="24"/>
    </row>
    <row r="53" spans="1:39" x14ac:dyDescent="0.3">
      <c r="U53" s="39"/>
      <c r="AI53" s="56"/>
      <c r="AM53" s="24"/>
    </row>
    <row r="54" spans="1:39" ht="18.75" x14ac:dyDescent="0.3">
      <c r="D54" s="1" t="s">
        <v>32</v>
      </c>
      <c r="U54" s="39"/>
      <c r="AI54" s="56"/>
      <c r="AM54" s="24"/>
    </row>
    <row r="55" spans="1:39" x14ac:dyDescent="0.3">
      <c r="D55"/>
      <c r="U55" s="39"/>
      <c r="AI55" s="56"/>
      <c r="AM55" s="24"/>
    </row>
    <row r="56" spans="1:39" x14ac:dyDescent="0.3">
      <c r="D56" t="s">
        <v>33</v>
      </c>
      <c r="U56" s="39"/>
      <c r="AI56" s="56"/>
      <c r="AM56" s="24"/>
    </row>
    <row r="57" spans="1:39" x14ac:dyDescent="0.3">
      <c r="D57" s="57" t="s">
        <v>34</v>
      </c>
      <c r="U57" s="39"/>
      <c r="AM57" s="24"/>
    </row>
    <row r="58" spans="1:39" x14ac:dyDescent="0.3">
      <c r="D58" s="57" t="s">
        <v>35</v>
      </c>
      <c r="AM58" s="24"/>
    </row>
    <row r="59" spans="1:39" x14ac:dyDescent="0.3">
      <c r="D59" t="s">
        <v>36</v>
      </c>
    </row>
    <row r="60" spans="1:39" x14ac:dyDescent="0.3">
      <c r="D60" t="s">
        <v>37</v>
      </c>
    </row>
    <row r="61" spans="1:39" x14ac:dyDescent="0.3">
      <c r="D61" t="s">
        <v>38</v>
      </c>
    </row>
    <row r="62" spans="1:39" x14ac:dyDescent="0.3">
      <c r="D62" t="s">
        <v>39</v>
      </c>
    </row>
    <row r="63" spans="1:39" x14ac:dyDescent="0.3">
      <c r="D63" s="58" t="s">
        <v>40</v>
      </c>
    </row>
    <row r="64" spans="1:39" x14ac:dyDescent="0.3">
      <c r="D64" s="58"/>
    </row>
    <row r="65" spans="4:38" x14ac:dyDescent="0.3">
      <c r="D65" s="58"/>
    </row>
    <row r="66" spans="4:38" x14ac:dyDescent="0.3">
      <c r="D66" s="58"/>
    </row>
    <row r="67" spans="4:38" x14ac:dyDescent="0.3">
      <c r="D67" s="58"/>
    </row>
    <row r="68" spans="4:38" x14ac:dyDescent="0.3">
      <c r="D68" s="58"/>
    </row>
    <row r="69" spans="4:38" x14ac:dyDescent="0.3">
      <c r="D69" s="58"/>
    </row>
    <row r="70" spans="4:38" x14ac:dyDescent="0.3">
      <c r="D70" s="58"/>
    </row>
    <row r="71" spans="4:38" x14ac:dyDescent="0.3">
      <c r="D71" s="58"/>
      <c r="AI71" s="7"/>
      <c r="AJ71" s="59"/>
      <c r="AK71" s="59"/>
      <c r="AL71" s="59"/>
    </row>
    <row r="72" spans="4:38" x14ac:dyDescent="0.3">
      <c r="D72" s="58"/>
      <c r="AI72" s="7"/>
      <c r="AJ72" s="59"/>
      <c r="AK72" s="59"/>
      <c r="AL72" s="59"/>
    </row>
    <row r="73" spans="4:38" x14ac:dyDescent="0.3">
      <c r="D73" s="58"/>
      <c r="AI73" s="7"/>
      <c r="AJ73" s="59"/>
      <c r="AK73" s="59"/>
      <c r="AL73" s="59"/>
    </row>
    <row r="74" spans="4:38" x14ac:dyDescent="0.3">
      <c r="D74" s="58"/>
      <c r="AI74" s="7"/>
      <c r="AJ74" s="59"/>
      <c r="AK74" s="59"/>
      <c r="AL74" s="59"/>
    </row>
    <row r="75" spans="4:38" x14ac:dyDescent="0.3">
      <c r="D75" s="58"/>
      <c r="AI75" s="7"/>
      <c r="AJ75" s="59"/>
      <c r="AK75" s="59"/>
      <c r="AL75" s="59"/>
    </row>
    <row r="76" spans="4:38" x14ac:dyDescent="0.3">
      <c r="D76" s="58"/>
      <c r="AI76" s="7"/>
      <c r="AJ76" s="59"/>
      <c r="AK76" s="59"/>
      <c r="AL76" s="59"/>
    </row>
    <row r="77" spans="4:38" x14ac:dyDescent="0.3">
      <c r="D77" s="58"/>
      <c r="AI77" s="7"/>
      <c r="AJ77" s="59"/>
      <c r="AK77" s="59"/>
      <c r="AL77" s="59"/>
    </row>
    <row r="78" spans="4:38" x14ac:dyDescent="0.3">
      <c r="D78" s="58"/>
      <c r="AI78" s="7"/>
      <c r="AJ78" s="59"/>
      <c r="AK78" s="59"/>
      <c r="AL78" s="59"/>
    </row>
    <row r="79" spans="4:38" x14ac:dyDescent="0.3">
      <c r="AI79" s="7"/>
      <c r="AJ79" s="59"/>
      <c r="AK79" s="59"/>
      <c r="AL79" s="59"/>
    </row>
    <row r="80" spans="4:38" ht="18.75" x14ac:dyDescent="0.3">
      <c r="D80" s="1"/>
      <c r="AH80" s="60"/>
      <c r="AI80" s="7"/>
      <c r="AJ80" s="59"/>
      <c r="AK80" s="59"/>
      <c r="AL80" s="59"/>
    </row>
    <row r="81" spans="34:38" x14ac:dyDescent="0.3">
      <c r="AH81" s="60"/>
      <c r="AI81" s="7"/>
      <c r="AJ81" s="59"/>
      <c r="AK81" s="59"/>
      <c r="AL81" s="59"/>
    </row>
    <row r="82" spans="34:38" x14ac:dyDescent="0.3">
      <c r="AH82" s="60"/>
      <c r="AI82" s="7"/>
      <c r="AJ82" s="59"/>
      <c r="AK82" s="59"/>
      <c r="AL82" s="59"/>
    </row>
    <row r="83" spans="34:38" x14ac:dyDescent="0.3">
      <c r="AH83" s="60"/>
      <c r="AI83" s="7"/>
      <c r="AJ83" s="59"/>
      <c r="AK83" s="59"/>
      <c r="AL83" s="59"/>
    </row>
    <row r="84" spans="34:38" x14ac:dyDescent="0.3">
      <c r="AH84" s="60"/>
      <c r="AI84" s="7"/>
      <c r="AJ84" s="59"/>
      <c r="AK84" s="59"/>
      <c r="AL84" s="59"/>
    </row>
    <row r="85" spans="34:38" x14ac:dyDescent="0.3">
      <c r="AH85" s="60"/>
      <c r="AI85" s="7"/>
      <c r="AJ85" s="59"/>
      <c r="AK85" s="59"/>
      <c r="AL85" s="59"/>
    </row>
    <row r="86" spans="34:38" x14ac:dyDescent="0.3">
      <c r="AH86" s="60"/>
      <c r="AI86" s="7"/>
      <c r="AJ86" s="59"/>
      <c r="AK86" s="59"/>
      <c r="AL86" s="59"/>
    </row>
    <row r="87" spans="34:38" x14ac:dyDescent="0.3">
      <c r="AH87" s="60"/>
      <c r="AI87" s="7"/>
      <c r="AJ87" s="59"/>
      <c r="AK87" s="59"/>
      <c r="AL87" s="59"/>
    </row>
    <row r="88" spans="34:38" x14ac:dyDescent="0.3">
      <c r="AH88" s="60"/>
      <c r="AI88" s="7"/>
      <c r="AJ88" s="59"/>
      <c r="AK88" s="59"/>
      <c r="AL88" s="59"/>
    </row>
    <row r="89" spans="34:38" x14ac:dyDescent="0.3">
      <c r="AH89" s="60"/>
      <c r="AI89" s="7"/>
      <c r="AJ89" s="59"/>
      <c r="AK89" s="59"/>
      <c r="AL89" s="59"/>
    </row>
    <row r="90" spans="34:38" x14ac:dyDescent="0.3">
      <c r="AI90" s="7"/>
      <c r="AJ90" s="59"/>
      <c r="AK90" s="59"/>
      <c r="AL90" s="59"/>
    </row>
    <row r="91" spans="34:38" x14ac:dyDescent="0.3">
      <c r="AI91" s="7"/>
      <c r="AJ91" s="59"/>
      <c r="AK91" s="59"/>
      <c r="AL91" s="59"/>
    </row>
    <row r="92" spans="34:38" x14ac:dyDescent="0.3">
      <c r="AI92" s="7"/>
      <c r="AJ92" s="59"/>
      <c r="AK92" s="59"/>
      <c r="AL92" s="59"/>
    </row>
    <row r="93" spans="34:38" x14ac:dyDescent="0.3">
      <c r="AI93" s="7"/>
      <c r="AJ93" s="59"/>
      <c r="AK93" s="59"/>
      <c r="AL93" s="59"/>
    </row>
    <row r="94" spans="34:38" x14ac:dyDescent="0.3">
      <c r="AI94" s="7"/>
      <c r="AJ94" s="59"/>
      <c r="AK94" s="59"/>
      <c r="AL94" s="59"/>
    </row>
    <row r="102" spans="4:4" ht="18.75" x14ac:dyDescent="0.3">
      <c r="D102" s="1" t="s">
        <v>41</v>
      </c>
    </row>
  </sheetData>
  <sheetProtection password="CE65" sheet="1" objects="1" scenarios="1"/>
  <mergeCells count="11">
    <mergeCell ref="B43:B49"/>
    <mergeCell ref="U3:V3"/>
    <mergeCell ref="Y3:Z3"/>
    <mergeCell ref="AC3:AD3"/>
    <mergeCell ref="B39:B42"/>
    <mergeCell ref="D3:E3"/>
    <mergeCell ref="F3:G3"/>
    <mergeCell ref="H3:I3"/>
    <mergeCell ref="L3:M3"/>
    <mergeCell ref="P3:Q3"/>
    <mergeCell ref="B25:B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ReadMe</vt:lpstr>
      <vt:lpstr>Results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Cuerpo Caballero, Carlos</cp:lastModifiedBy>
  <dcterms:created xsi:type="dcterms:W3CDTF">2014-10-17T13:46:11Z</dcterms:created>
  <dcterms:modified xsi:type="dcterms:W3CDTF">2014-10-20T09:26:21Z</dcterms:modified>
</cp:coreProperties>
</file>